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2340" windowWidth="20730" windowHeight="9660" firstSheet="4" activeTab="9"/>
  </bookViews>
  <sheets>
    <sheet name="SUB. GENERAL" sheetId="16" r:id="rId1"/>
    <sheet name="CONOCIMIENTO" sheetId="10" r:id="rId2"/>
    <sheet name="Reducción 27_02_2015 (2)" sheetId="17" r:id="rId3"/>
    <sheet name="MANEJO 09_03_2015" sheetId="15" r:id="rId4"/>
    <sheet name="COOPERACIÓN INTERNACIONAL" sheetId="4" r:id="rId5"/>
    <sheet name="COMUNICACIONES" sheetId="2" r:id="rId6"/>
    <sheet name="JURÍDICA" sheetId="6" r:id="rId7"/>
    <sheet name="PLANEACIÓN" sheetId="7" r:id="rId8"/>
    <sheet name="CONTRATACION" sheetId="18" r:id="rId9"/>
    <sheet name="G. FINANCIERO Y CONT." sheetId="5" r:id="rId10"/>
    <sheet name="G. TALENTO HUMANO" sheetId="8" r:id="rId11"/>
    <sheet name="G. ADMINISTRATIVO" sheetId="1" r:id="rId12"/>
    <sheet name="Resumen" sheetId="13" state="hidden" r:id="rId13"/>
  </sheets>
  <externalReferences>
    <externalReference r:id="rId16"/>
  </externalReferences>
  <definedNames>
    <definedName name="__xlnm._FilterDatabase_1">#REF!</definedName>
    <definedName name="Componentes" localSheetId="3">#N/A</definedName>
    <definedName name="Componentes" localSheetId="0">#N/A</definedName>
    <definedName name="Componentes">'[1]EJEC. X COMPONENTE'!$C$24:$C$34</definedName>
  </definedNames>
  <calcPr calcId="145621"/>
</workbook>
</file>

<file path=xl/comments1.xml><?xml version="1.0" encoding="utf-8"?>
<comments xmlns="http://schemas.openxmlformats.org/spreadsheetml/2006/main">
  <authors>
    <author>Karen Villareal</author>
  </authors>
  <commentList>
    <comment ref="Z36" authorId="0">
      <text>
        <r>
          <rPr>
            <b/>
            <sz val="9"/>
            <rFont val="Tahoma"/>
            <family val="2"/>
          </rPr>
          <t>Karen Villareal:</t>
        </r>
        <r>
          <rPr>
            <sz val="9"/>
            <rFont val="Tahoma"/>
            <family val="2"/>
          </rPr>
          <t xml:space="preserve">
Valor es suma actividades pryecto de inversión Asistencia técnica sin sumar las que están a Cargo de la Subdirección de Reducción del riesgo</t>
        </r>
      </text>
    </comment>
  </commentList>
</comments>
</file>

<file path=xl/comments3.xml><?xml version="1.0" encoding="utf-8"?>
<comments xmlns="http://schemas.openxmlformats.org/spreadsheetml/2006/main">
  <authors>
    <author>Miguel Angel Angulo Tavera</author>
  </authors>
  <commentList>
    <comment ref="D17" authorId="0">
      <text>
        <r>
          <rPr>
            <b/>
            <sz val="9"/>
            <rFont val="Tahoma"/>
            <family val="2"/>
          </rPr>
          <t>Miguel Angel Angulo Tavera:</t>
        </r>
        <r>
          <rPr>
            <sz val="9"/>
            <rFont val="Tahoma"/>
            <family val="2"/>
          </rPr>
          <t xml:space="preserve">
Orientar y acompañar la implementación de las agendas sectoriales</t>
        </r>
      </text>
    </comment>
    <comment ref="P84" authorId="0">
      <text>
        <r>
          <rPr>
            <b/>
            <sz val="9"/>
            <rFont val="Tahoma"/>
            <family val="2"/>
          </rPr>
          <t>Miguel Angel Angulo Tavera:</t>
        </r>
        <r>
          <rPr>
            <sz val="9"/>
            <rFont val="Tahoma"/>
            <family val="2"/>
          </rPr>
          <t xml:space="preserve">
estaba 33%
</t>
        </r>
      </text>
    </comment>
    <comment ref="R84" authorId="0">
      <text>
        <r>
          <rPr>
            <b/>
            <sz val="9"/>
            <rFont val="Tahoma"/>
            <family val="2"/>
          </rPr>
          <t>Miguel Angel Angulo Tavera:</t>
        </r>
        <r>
          <rPr>
            <sz val="9"/>
            <rFont val="Tahoma"/>
            <family val="2"/>
          </rPr>
          <t xml:space="preserve">
estaba 33%</t>
        </r>
      </text>
    </comment>
    <comment ref="T84" authorId="0">
      <text>
        <r>
          <rPr>
            <b/>
            <sz val="9"/>
            <rFont val="Tahoma"/>
            <family val="2"/>
          </rPr>
          <t>Miguel Angel Angulo Tavera:</t>
        </r>
        <r>
          <rPr>
            <sz val="9"/>
            <rFont val="Tahoma"/>
            <family val="2"/>
          </rPr>
          <t xml:space="preserve">
estaba 34%
</t>
        </r>
      </text>
    </comment>
  </commentList>
</comments>
</file>

<file path=xl/sharedStrings.xml><?xml version="1.0" encoding="utf-8"?>
<sst xmlns="http://schemas.openxmlformats.org/spreadsheetml/2006/main" count="9987" uniqueCount="3154">
  <si>
    <t>FORMATO PLAN DE ACCIÓN</t>
  </si>
  <si>
    <t>CODIGO:                     
FR-1300-PE-01</t>
  </si>
  <si>
    <t>Versión 01</t>
  </si>
  <si>
    <t>PLANEACIÓN ESTRATÉGICA</t>
  </si>
  <si>
    <t>UNIDAD NACIONAL PARA LA GESTIÓN DEL RIESGO DE DESASTRES - UNGRD-</t>
  </si>
  <si>
    <t>PRESIDENCIA DE LA REPÚBLICA</t>
  </si>
  <si>
    <t>PLAN DE ACCIÓN - PROGRAMACIÓN ACTIVIDADES</t>
  </si>
  <si>
    <t>DEPENDENCIA / ÁREA</t>
  </si>
  <si>
    <t>GRUPO DE APOYO ADMINISTRATIVO</t>
  </si>
  <si>
    <t>EJE</t>
  </si>
  <si>
    <t xml:space="preserve">E. FORTALECIMIENTO INSTITUCIONAL DE LA UNGRD </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</si>
  <si>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</si>
  <si>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</si>
  <si>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</si>
  <si>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</si>
  <si>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</si>
  <si>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</si>
  <si>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</si>
  <si>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</si>
  <si>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</si>
  <si>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</si>
  <si>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</si>
  <si>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</si>
  <si>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</si>
  <si>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</si>
  <si>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</si>
  <si>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</si>
  <si>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</si>
  <si>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</si>
  <si>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</si>
  <si>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</si>
  <si>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</si>
  <si>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</si>
  <si>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</si>
  <si>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</si>
  <si>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</si>
  <si>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</si>
  <si>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</si>
  <si>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META ACUMULADA A FEBRERO</t>
  </si>
  <si>
    <t>LOGRO A FEBRERO</t>
  </si>
  <si>
    <t>% DEL LOGRO</t>
  </si>
  <si>
    <t>PRESUPUESTO EJECUTADO</t>
  </si>
  <si>
    <t>% PRESUPUESTO EJECUTADO</t>
  </si>
  <si>
    <t>AVANCES</t>
  </si>
  <si>
    <t>DIFICULTADES O RETRASOS</t>
  </si>
  <si>
    <t>META ACUMULADA A ABRIL</t>
  </si>
  <si>
    <t>LOGRO A ABRIL</t>
  </si>
  <si>
    <t>META ACUMULADA A JUNIO</t>
  </si>
  <si>
    <t>LOGRO A JUNIO</t>
  </si>
  <si>
    <t>META ACUMULADA A AGOSTO</t>
  </si>
  <si>
    <t>LOGRO A AGOSTO</t>
  </si>
  <si>
    <t>Asistencia a la gestión institucional</t>
  </si>
  <si>
    <t xml:space="preserve">Adquisicion de Bienes y Servicios. </t>
  </si>
  <si>
    <t>Publicar el Plan Anual de Adquisiciones</t>
  </si>
  <si>
    <t>Número</t>
  </si>
  <si>
    <t>No. de planes de adquisiciones publicados</t>
  </si>
  <si>
    <t>Fanny Torres</t>
  </si>
  <si>
    <t>FR-1603-GBI-17 Formato de Plan de Adquisiciones publicado en página web.</t>
  </si>
  <si>
    <t>Publicar las actualizaciones del Plan Anual de Adquisiciones</t>
  </si>
  <si>
    <t xml:space="preserve">No. Actualizaciones publicadas </t>
  </si>
  <si>
    <t>Actualizaciones registradas en la Pagina web y SECOP.</t>
  </si>
  <si>
    <t>Realizar los requerimientos de contratación de bienes, servicios y prestación de servicios al Grupo de Contratación de la Unidad.</t>
  </si>
  <si>
    <t>Porcentaje</t>
  </si>
  <si>
    <t>No. Contratos suscritos /No. de requerimientos realizados</t>
  </si>
  <si>
    <t>Stella Toro</t>
  </si>
  <si>
    <t>estudios previos , analisis del sector, copia del oficio remitido al GGC y copia del Contrato realizado</t>
  </si>
  <si>
    <t>Realizar seguimiento a la Contratación de Bienes y Servicios de la Unidad a cargo del Grupo de Apoyo Administrativo.</t>
  </si>
  <si>
    <t xml:space="preserve">Reportes de seguimiento </t>
  </si>
  <si>
    <t xml:space="preserve">No. de reportes de seguimiento elaborados </t>
  </si>
  <si>
    <t>FR-1603-GBI-17 Formato de Plan de Adquisiciones en el cual se evidencia el número de contratos a efectuar.</t>
  </si>
  <si>
    <t>Elaboración del Programa Anual Mensualizado de Caja - PAC.</t>
  </si>
  <si>
    <t xml:space="preserve">Desagregar  por rubros presupuestales las cuentas de Caja Menor de Gastos Generales que cubran las necesidades de orden prioritario. </t>
  </si>
  <si>
    <t>Documento</t>
  </si>
  <si>
    <t>No. De documentos elaborados</t>
  </si>
  <si>
    <t>Documento de programación PAC mensualizado de caja remitido a la Oficina Asesora de Planeación y el Grupo de Apoyo Financiero y Contable</t>
  </si>
  <si>
    <t>Elaborar Resolución de la Constitución y apertura de Caja Menor de Gastos Generales</t>
  </si>
  <si>
    <t xml:space="preserve">Resolución </t>
  </si>
  <si>
    <t xml:space="preserve">No. De resoluciones elaboradas </t>
  </si>
  <si>
    <t xml:space="preserve">Resolución de Constitución de Caja Menor de Gastos Generales. </t>
  </si>
  <si>
    <t>Efectuar reemolsos de Caja Menor de Gastos Generales</t>
  </si>
  <si>
    <t xml:space="preserve">Reembolso </t>
  </si>
  <si>
    <t xml:space="preserve">Resolución de reembolso de Caja Menor de Gastos Generales. </t>
  </si>
  <si>
    <t>Elaborar Resolución de cierre definitivo de Caja Menor de Gastos Generales</t>
  </si>
  <si>
    <t xml:space="preserve">Resolución de cierre definitivo de Caja Menor de Gastos Generales. </t>
  </si>
  <si>
    <t>Gestión documental.</t>
  </si>
  <si>
    <t>Seguimiento al programa de Gestión documental de acuerdo con los lineamientos del sistema integrado de planeación y Gestión y los lineamientos del AGN.</t>
  </si>
  <si>
    <t>Seguimiento al Programa de Gestión Documental - PGD</t>
  </si>
  <si>
    <t>Actividades Ejecutadas / Actividades Planificadas Durante el año</t>
  </si>
  <si>
    <t xml:space="preserve">Documento físico </t>
  </si>
  <si>
    <t>Gestionar la aprobación y publicación de la política de Gestión documental</t>
  </si>
  <si>
    <t>Política de gestión documental de la Entidad aprobada y publicada</t>
  </si>
  <si>
    <t>Nro de Politicas de Gestion Docuemntal publicadaS</t>
  </si>
  <si>
    <t xml:space="preserve">Publicación en la herramienta tècnologica Neogestón </t>
  </si>
  <si>
    <t>Capacitar a los servidores publicos de la entidad en la política de Gestión documental.</t>
  </si>
  <si>
    <t>Capacitaciones</t>
  </si>
  <si>
    <t xml:space="preserve">Capacitaciones realizadas/capacitaciones programadas. </t>
  </si>
  <si>
    <t>Registro de asistentes.</t>
  </si>
  <si>
    <t>Administración de bienes y servicios.</t>
  </si>
  <si>
    <t xml:space="preserve">Elaborar las entradas y salidas de bienes adquiridos por UNGRD para ingresarlos al inventario </t>
  </si>
  <si>
    <t>E.A y S.A.</t>
  </si>
  <si>
    <t>Por demanda</t>
  </si>
  <si>
    <t xml:space="preserve">Nro de entradas y salidas de bienes realizadas. </t>
  </si>
  <si>
    <t>Ginna Suarez</t>
  </si>
  <si>
    <t xml:space="preserve">Formato de entradas y salidas en físico y digital de acuerdo al informe arrojado por el software de control de inventarios. </t>
  </si>
  <si>
    <t>Elaborar semestralmente la identificacion de los bienes obsoletos y realizar las acciones pertinentes de acuerdo al  procedimiento establecido en el Manual de Bienes</t>
  </si>
  <si>
    <t xml:space="preserve">Acta de identificación de bienes obsoletos </t>
  </si>
  <si>
    <t>Nro de Actas elaboradas</t>
  </si>
  <si>
    <t>Nelson Botello</t>
  </si>
  <si>
    <t>Actas elaboradas</t>
  </si>
  <si>
    <t>Verificación del inventario individualizado por funcionario y/o contratista</t>
  </si>
  <si>
    <t xml:space="preserve">Verificación del inventario individualizado  </t>
  </si>
  <si>
    <t xml:space="preserve">informes de verificacion de inventario. </t>
  </si>
  <si>
    <t>Inventario puestos de trabajo y elementos exportado del software de inventarios.</t>
  </si>
  <si>
    <t>Mantener control de las entradas y salidas de elementos de la bodega, actualizando el kardex y elaborando reporte mensual para el Grupo de Apoyo Financiero y Contable</t>
  </si>
  <si>
    <t>REPORTE MENSUAL</t>
  </si>
  <si>
    <t>No de reportes entregados/nùmero total de reportes programados</t>
  </si>
  <si>
    <t>Documento físico FR-1603-GBI-15</t>
  </si>
  <si>
    <t>Administración de bienes de consumo.</t>
  </si>
  <si>
    <t xml:space="preserve">Registro de entrega de elementos de consumo </t>
  </si>
  <si>
    <t>Formato</t>
  </si>
  <si>
    <t xml:space="preserve">Numero de Formato FR-1603-GBI-04 autorizados/ Numero de Formato FR-1603-GBI-04 recibidos </t>
  </si>
  <si>
    <t xml:space="preserve">Formato de  salida en físico y software, y nùmero de Formato FR-1603-GBI-04 </t>
  </si>
  <si>
    <t>Consolidado de consumo de papel y toners por areas y/o grupos</t>
  </si>
  <si>
    <t>Informe bimensual</t>
  </si>
  <si>
    <t>No informes entregados</t>
  </si>
  <si>
    <t xml:space="preserve">Informe consumo de papel y Toners mensual. </t>
  </si>
  <si>
    <t>Jornadas socialización de la politica y lineamientos cero papel</t>
  </si>
  <si>
    <t>No de jornadas de socialización realizadas</t>
  </si>
  <si>
    <t>No de socializaciones realizadas/No de socializaciones programadas</t>
  </si>
  <si>
    <t xml:space="preserve">Hernan Cortes </t>
  </si>
  <si>
    <t>TOTAL LÍNEA DE ACCIÓN</t>
  </si>
  <si>
    <t>Gestión estratégica</t>
  </si>
  <si>
    <t>Planes de mejoramiento de la entidad</t>
  </si>
  <si>
    <t>Elaboración de Planes de Mejoramiento de acuerdo a las observaciones realizadas por los entes de control y/o la Oficina de Control Interno</t>
  </si>
  <si>
    <t>Documentos de plan de mejoramiento de acuerdo a hallazgos u observaciones realizados por parte de los entes de control</t>
  </si>
  <si>
    <t>Efectuar seguimiento a las actividades propuestas en los Planes de Mejoramiento establecidos</t>
  </si>
  <si>
    <t>Seguimientos</t>
  </si>
  <si>
    <t>No. De seguimientos realizados</t>
  </si>
  <si>
    <t>Reportes de seguimientos efectuados</t>
  </si>
  <si>
    <t>Seguimiento a la medición de los indicadores de gestión de cada uno de los procesos liderados por la dependencia de acuerdo a la periodicidad establecida en las fichas de indicadores en la herramienta tècnologica de Neogestión.</t>
  </si>
  <si>
    <t>De acuerdo a periodicidad</t>
  </si>
  <si>
    <t>No. De Indicadores del proceso actualizados</t>
  </si>
  <si>
    <t>Indicadores medidos en la plataforma de Neogestión</t>
  </si>
  <si>
    <t>Revisión  de procesos administrativos y/o procedimientos implenentados en el SIPLAG</t>
  </si>
  <si>
    <t>Procesos revisados</t>
  </si>
  <si>
    <t>Procesos revisados/Procesos existentes</t>
  </si>
  <si>
    <t>Acta de reunión y/o registro de asistencia</t>
  </si>
  <si>
    <t>Actualización del mapa de riesgos por procesos</t>
  </si>
  <si>
    <t>Mapa de riesgos</t>
  </si>
  <si>
    <t>De acuerdo a la necesidad</t>
  </si>
  <si>
    <t>No. De actualizaciones del Mapa de riesgos</t>
  </si>
  <si>
    <t>Asistir a las reuniones mensuales del equipo del líderes SIPLAG</t>
  </si>
  <si>
    <t>Reuniones</t>
  </si>
  <si>
    <t>No. De reuniones a las que asiste</t>
  </si>
  <si>
    <t>Listados de asistencia a las reuniones</t>
  </si>
  <si>
    <t>Realizar reuniones de retroalimentación al interior de cada una de las dependecias frente a los avances de la implementación del SIPLAG</t>
  </si>
  <si>
    <t>Liderar el cargue en la plataforma Neogestión de la medición de los indicadores de gestión de cada uno de los procesos establecidos por la oficina, de acuerdo a la periodicidad definida en la fichas de indicadores</t>
  </si>
  <si>
    <t>Indicadores</t>
  </si>
  <si>
    <t>Indicadores actualizados en la plataforma de Neogestión</t>
  </si>
  <si>
    <t>Apoyo tecnológico para la gestión institucional</t>
  </si>
  <si>
    <t>Adecuación de la infraestructura tecnológica de acuerdo a las necesidades de las áreas.</t>
  </si>
  <si>
    <t>Solucionar los conflictos que se presentan con el software de los PC a nivel de office,navegadores, internet, correo e instalación y/o reinstalación de  aplicaciones, soporte a sistemas operativos. A nivel hardware instalación y cambio de hardware</t>
  </si>
  <si>
    <t>Consultas</t>
  </si>
  <si>
    <t>No de consultas atendidas</t>
  </si>
  <si>
    <t>Luis Javier Barrera</t>
  </si>
  <si>
    <t>Software GLPI</t>
  </si>
  <si>
    <t>Configuración e implementación de los canales de internet  para la UNGRD y sala de crisis una vez sean contratados</t>
  </si>
  <si>
    <t>No. De Contratos gestionados</t>
  </si>
  <si>
    <t>Proceso contractual presentado al Grupo de Contratación y Contrato realizado. Es importante mencionar que estos servicios se encuentran contratados en enero de 2015, pero los contratos se deben renovar durante el primer semestre y por tanto se hace necesario efectuar la actividad.</t>
  </si>
  <si>
    <t>UNGRD</t>
  </si>
  <si>
    <t>Documento físico firmado en donde se verifica la implemantación y configuración de los canales.</t>
  </si>
  <si>
    <t>Configuración de servidores de los sistemas de informacion misional de la UNGRD en un sistio alterno una vez sea contratado.</t>
  </si>
  <si>
    <t>No. De contratos gestionados</t>
  </si>
  <si>
    <t>FNGRD</t>
  </si>
  <si>
    <t>No. de documentos elaborados</t>
  </si>
  <si>
    <t>Documento físico firmado en donde se verifica la  configuración de los servidores y contrato firmado.</t>
  </si>
  <si>
    <t>Implementar y configurar los equipos de computo que se solicitan a través del alquiler de equipos  los cuales apoyan las labores diarias efectuadas por funcionarios y contratistas de la UNGRD una vez sean contratados.</t>
  </si>
  <si>
    <t>Registro</t>
  </si>
  <si>
    <t>No. de solicitudes atendidas</t>
  </si>
  <si>
    <t>Liliana Ramírez</t>
  </si>
  <si>
    <t>Administración del Software GLPI una vez el alquiler de los equipos sea contratado.</t>
  </si>
  <si>
    <t>Configuración e implementación de de las cuentas de correo electrónico a través de la plataforma Google Apps una vez sea contratado.</t>
  </si>
  <si>
    <t>No. De cuentas configuradas</t>
  </si>
  <si>
    <t xml:space="preserve">Software administrador de GOOGLE. </t>
  </si>
  <si>
    <t>Replicación de información Servidores. Adquisición de una solución para ampliar capacidad de almacenamiento de información, sistema de copias de seguridad, sistema  contra intrusos (firewall), sistema monitoreo de red  y servidor para tener replicación de nuestra información en un sitio externo</t>
  </si>
  <si>
    <t>Francisco Pulido</t>
  </si>
  <si>
    <t>Documento físiico firmado en donde se verifica la  configuración de almacenamiento en Red, firewall, sistema de copias, sistema de administración de red.</t>
  </si>
  <si>
    <t>Adopción de la convivencia del protocolo IPv6 con IPV4 y transición final al protocolo IPV6.  Gobierno en Línea</t>
  </si>
  <si>
    <t>Proceso contractual presentado al Grupo de Contratación y Contrato realizado.</t>
  </si>
  <si>
    <t>Contratar el Servicio de soporte por una año en modalidad 7*24*360 para 5 servidores HP PROLIANT DL380 G7</t>
  </si>
  <si>
    <t>Contratar Diagnostico de Análisis de vulnerabilidad informatica con el fin de evaluar la seguridad interna de red y sistemas de la UNGRD</t>
  </si>
  <si>
    <t xml:space="preserve">Supervisar los diferentes contratos que le sean asignados </t>
  </si>
  <si>
    <t xml:space="preserve">Designacion de supervisión </t>
  </si>
  <si>
    <t>No. de contratos supervisados</t>
  </si>
  <si>
    <t>Actas de supervisión de los contratos</t>
  </si>
  <si>
    <t xml:space="preserve">P or demanda </t>
  </si>
  <si>
    <t>Gestión tecnologías de la información.</t>
  </si>
  <si>
    <t>Administrar las herramientas de seguridad a traves del visor de sucesos y aplicar los parches necesarios para tener actualizados servidor de dominio y archivos</t>
  </si>
  <si>
    <t>Actualizaciones</t>
  </si>
  <si>
    <t>No. de actualizaciones al servidor de dominio</t>
  </si>
  <si>
    <t>Log de visor de eventos y log de actualizaciones</t>
  </si>
  <si>
    <t xml:space="preserve">Realizar las copias de seguridad incremental de la información </t>
  </si>
  <si>
    <t>Copias de Seguridad Incrementales</t>
  </si>
  <si>
    <t>No. de Copias de Seguridad Incrementales realizadas</t>
  </si>
  <si>
    <t>Log copias de seguridad</t>
  </si>
  <si>
    <t>Realizar copias de seguridad mensual</t>
  </si>
  <si>
    <t>Copias Mensuales</t>
  </si>
  <si>
    <t>No. de Copias de Seguridad mensuales realizadas</t>
  </si>
  <si>
    <t>Monitorear el funcionamiento de la red LAN. Switch, servidores, patch panel, cableado utilizando analizadores de protocolos para solucionar posibles problemas en las comunicaciones.</t>
  </si>
  <si>
    <t>No. de consultas atendidas</t>
  </si>
  <si>
    <t>Log de actividades</t>
  </si>
  <si>
    <t>Verificar conexiones físicas y lógicas de equipos, en caso de presentarse inconvenientes de conexión. (punto de red, trajetas, actividad de switchs,, conexiones en el rack de voz y datos)</t>
  </si>
  <si>
    <t>Francisco Pulido
Liliana Ramírez</t>
  </si>
  <si>
    <t>Planillas de seguimiento semanal</t>
  </si>
  <si>
    <t>Verificar uso de los canales de internet, a través de software suministrado por el proveedor o externos.</t>
  </si>
  <si>
    <t xml:space="preserve">No.  de reportes efectuados/Nro de reportes programados </t>
  </si>
  <si>
    <t>Reportes</t>
  </si>
  <si>
    <t xml:space="preserve">Creación, administración y configuración de cuentas de correo Eletrónico y backups de las cuentas suspendidas o eliminadas. </t>
  </si>
  <si>
    <t xml:space="preserve">Formato </t>
  </si>
  <si>
    <t>Por Demanda</t>
  </si>
  <si>
    <t>No. De cuentas administradas</t>
  </si>
  <si>
    <t>Administración de la Plataforma de Red Inalambrica</t>
  </si>
  <si>
    <t>Documento mensual en el que se decriben las novedades presentadas en la Plataforma de red Inalámbrica</t>
  </si>
  <si>
    <t>Monitoreo a través de plataforma de administración del Software PCSecure para controlar administrar y proteger utilización de las plataformas cliente</t>
  </si>
  <si>
    <t>Documento mensual en el que se resumen las novedades presentadas.</t>
  </si>
  <si>
    <t>Administración y configuración de cuentas de usuarios biométricas</t>
  </si>
  <si>
    <t>No. De cuentas registradas</t>
  </si>
  <si>
    <t>Registro de cuentas registradas</t>
  </si>
  <si>
    <t>Buen Gobierno</t>
  </si>
  <si>
    <t>Fortalecimiento de la estrategia de rendición de cuentas.</t>
  </si>
  <si>
    <t>Participar en la Formulación de  la Estrategia y el Plan de Acción de Rendición de Cuentas para la vigencia 2015</t>
  </si>
  <si>
    <t>Documentos</t>
  </si>
  <si>
    <t>No. De documentos elaborados y aprobados</t>
  </si>
  <si>
    <t>Adriana Rodríguez</t>
  </si>
  <si>
    <t>Cronograma de trabajo  y Plan de Rendición de Cuentas y actas de asistencia</t>
  </si>
  <si>
    <t>Participar en la elaboración del informe final de la ejecución de la estrategia y el plan de Plan de Acción de Rendición de Cuentas de la vigencia 2015</t>
  </si>
  <si>
    <t>Documento de informe final de la ejecución de la estrategia y el plan de Plan de Acción de Rendición de Cuentas de la vigencia 2015 y consolidación de las evidencias del mismo.</t>
  </si>
  <si>
    <t>Plan anticorrupción y de atención al ciudadano.</t>
  </si>
  <si>
    <t>Identificar los Trámites y Procedimientos Administrativos objeto de racionalización y simplificación.</t>
  </si>
  <si>
    <t>No. de encuestas aplicadas</t>
  </si>
  <si>
    <t>Adriana Rodríguez
Fanny Torres</t>
  </si>
  <si>
    <t xml:space="preserve">Documento físico de Diagnóstico de trámites y procedimientos administrativos a  racionalizar y simplificar </t>
  </si>
  <si>
    <t>Apoyar la actualización de las OPAS publicadas en el SUIT</t>
  </si>
  <si>
    <t>Informe de revisión y/o ajuste de las OPAS</t>
  </si>
  <si>
    <t xml:space="preserve">No. Trámites, procesos y procedimientos seleccionados </t>
  </si>
  <si>
    <t>Documento con Trámites, Procesos y Procedimientos seleccionados</t>
  </si>
  <si>
    <t>Publicación de los trámites y servicios de la entidad en el SUIT 3.0</t>
  </si>
  <si>
    <t>Tramites y procedimientos administrativos publicados en el SUIT.</t>
  </si>
  <si>
    <t>No. Trámites, procesos y procedimientos intervenidos</t>
  </si>
  <si>
    <t>Trámites / Procesos / Procedimientos intervenidos</t>
  </si>
  <si>
    <t>Jornadas socialización del protocolo de atención al ciudadano</t>
  </si>
  <si>
    <t xml:space="preserve">Jornadas de socialización </t>
  </si>
  <si>
    <t xml:space="preserve">No de jornadas realizadas/nùmero de jornadas planeadas </t>
  </si>
  <si>
    <t>Registro de asistencia</t>
  </si>
  <si>
    <t>Apoyar la Formulación del Plan Anticorrupción y de Atención al Ciudadano 2015</t>
  </si>
  <si>
    <t>Documento Plan Anticorrupción y de Atención al Ciudadano 2015 publicado en página web</t>
  </si>
  <si>
    <t>Apoyar el seguimiento a la ejecución del Plan Anticorrupción y de Atención al Ciudadano 2015</t>
  </si>
  <si>
    <t>Número de seguimientos realizados/ Número de seguimientos programados</t>
  </si>
  <si>
    <t>Seguimientos trimestrales al Plan Anticorrupción</t>
  </si>
  <si>
    <t>Actualizar  del Mapa de Riesgos de corrupción</t>
  </si>
  <si>
    <t>Mapa de riesgos de corrupción</t>
  </si>
  <si>
    <t>Diseñar estrategia de divulgación de los canales de atención al ciudadano</t>
  </si>
  <si>
    <t>Nro. de documentos elaborados</t>
  </si>
  <si>
    <t>Adriana Rodriguez</t>
  </si>
  <si>
    <t>Documento de estrategia elaborado</t>
  </si>
  <si>
    <t>Fortalecimiento del canales de atención</t>
  </si>
  <si>
    <t>actividades</t>
  </si>
  <si>
    <t xml:space="preserve">Nro de actividades realizadas/Nro de actividades programadas </t>
  </si>
  <si>
    <t>Informe de actividades realizadas, listado de asistentes</t>
  </si>
  <si>
    <t>Actualización Protocolos de Atención de Segundo Nivel</t>
  </si>
  <si>
    <t xml:space="preserve">actualizaciones </t>
  </si>
  <si>
    <t xml:space="preserve">Nro de actualizaciones realizadas/Nro de actualizaciones programadas </t>
  </si>
  <si>
    <t>Versiones actualizadas</t>
  </si>
  <si>
    <t>Nro deprocedimientos actualizados</t>
  </si>
  <si>
    <t>Procedimientos actualizados</t>
  </si>
  <si>
    <t xml:space="preserve">Implementación del Buzón de sugerencias </t>
  </si>
  <si>
    <t>Nro de buzones de sugerencias implementados</t>
  </si>
  <si>
    <t>Adriana Rodriguez- Fanny Torres</t>
  </si>
  <si>
    <t>Buzón implementado</t>
  </si>
  <si>
    <t>Implementación del digiturno para la atención presencial al ciudadano</t>
  </si>
  <si>
    <t xml:space="preserve">Nro de digiturnos implementados </t>
  </si>
  <si>
    <t>Digiturno implementado</t>
  </si>
  <si>
    <t>Aplicación Encuestas de Satisfacción de Usuarios y elaboración de 
informe de resultados</t>
  </si>
  <si>
    <t>encuestas</t>
  </si>
  <si>
    <t xml:space="preserve">Nro de encuestas realizadas/Nro deencuestas programadas </t>
  </si>
  <si>
    <t>Informe de resultados de la encuesta</t>
  </si>
  <si>
    <t>Presentación de informes trimestrales de Atención al Ciudadano y su
respectiva publicación en Página Web</t>
  </si>
  <si>
    <t>Informe</t>
  </si>
  <si>
    <t xml:space="preserve">Nro de informes publicados /Nro de informes s programados </t>
  </si>
  <si>
    <t xml:space="preserve">Informes publicados en la pag web </t>
  </si>
  <si>
    <t>TOTAL EJE</t>
  </si>
  <si>
    <t>OFICINA ASESORA DE COMUNICACIONES</t>
  </si>
  <si>
    <t>E. FORTALECIMIENTO INSTITUCIONAL DE LA UNGRD</t>
  </si>
  <si>
    <t>Comunicación asertiva en Gestión del Riesgo de Desastres</t>
  </si>
  <si>
    <t>Estrategia de comunicaciones interna, externa y digital en gestión del riesgo de desastres.</t>
  </si>
  <si>
    <t>Elaboración de documento práctico con acciones puntuales de comunicación de acuerdo a calendario climático y temporadas</t>
  </si>
  <si>
    <t># de Documentos</t>
  </si>
  <si>
    <t>Diana Londoño</t>
  </si>
  <si>
    <t>31/2/2015</t>
  </si>
  <si>
    <t>Acciones de apoyo a la estrategia de comunicación para el Simulacro Internacional de búsqueda y rescate</t>
  </si>
  <si>
    <t>Notas, eventos, acompañamientos</t>
  </si>
  <si>
    <t># de actividades conjuntas</t>
  </si>
  <si>
    <t>Diana Londoño y OAC</t>
  </si>
  <si>
    <t>Documento de conclusiones sobre el apoyo</t>
  </si>
  <si>
    <t>Producción de boletín de noticias sobre avances e impacto de las acciones de las Entidades del Sistema y de los Consejos Departamentales y Municipales de GR</t>
  </si>
  <si>
    <t>Boletín</t>
  </si>
  <si>
    <t># de Boletines / # de lectores</t>
  </si>
  <si>
    <t>Samuel Lancheros, Yinet Pinilla</t>
  </si>
  <si>
    <t>Boletines</t>
  </si>
  <si>
    <t>Actualización estratégica y frecuente de Bases de Datos de socios y colaboradores</t>
  </si>
  <si>
    <t>Registros en la base</t>
  </si>
  <si>
    <t># de inscritos</t>
  </si>
  <si>
    <t>Amalia Polanco, Nicolás Camacho</t>
  </si>
  <si>
    <t>Tablas excel con registros</t>
  </si>
  <si>
    <t>Capacitación a jefes de prensa de Consejos Municipales y Departamentales en manejo de información y comunicación efectiva</t>
  </si>
  <si>
    <t>Evento</t>
  </si>
  <si>
    <t># de eventos / # de participantes</t>
  </si>
  <si>
    <t>Diana Londoño, Samuel Lancheros, Amalia Polanco</t>
  </si>
  <si>
    <t>Acta, listas de asistencia, fotografía</t>
  </si>
  <si>
    <t>Envío de comunicación frecuente y vinculante a las entidades del Sistema, partiendo de un decálogo de acuerdos</t>
  </si>
  <si>
    <t>Correos electrónicos</t>
  </si>
  <si>
    <t># de correos, # de memorandos</t>
  </si>
  <si>
    <t>Samuel Lancheros</t>
  </si>
  <si>
    <t>Alianza con centro interactivo para el posicionamiento de la marca y el tratamiento de temáticas relativas a la GRD</t>
  </si>
  <si>
    <t>Convenio</t>
  </si>
  <si>
    <t># de convenios / # de visitantes</t>
  </si>
  <si>
    <t>Amalia Polanco, Diana Londoño</t>
  </si>
  <si>
    <t>Producción de campañas publicitarias de difusión Masiva al respecto de la misión y función de la UNGRD y el SNGRD (RTVC, Lluvias, Huracanes, Fin de año, Simulacro, Sismos, Volcanes, Institucional)</t>
  </si>
  <si>
    <t>Campañas</t>
  </si>
  <si>
    <t># de campañas</t>
  </si>
  <si>
    <t>Amalia Polanco / Diana Londoño</t>
  </si>
  <si>
    <t>Contrato</t>
  </si>
  <si>
    <t>Levantamiento de testimonios para documentar la memoria histórica en Gestión del riesgo</t>
  </si>
  <si>
    <t>Testimonios</t>
  </si>
  <si>
    <t># de testimonios</t>
  </si>
  <si>
    <t>Yinet Pinilla, Diego Alfaro, Samuel Lancheros</t>
  </si>
  <si>
    <t>Documento con Testimonios</t>
  </si>
  <si>
    <t xml:space="preserve">Talleres con la Academia para la formación de estudiantes de periodismo, comunicación y publicidad con afinidad y sensibilidad por la temática de GRD. </t>
  </si>
  <si>
    <t>Talleres</t>
  </si>
  <si>
    <t># de talleres</t>
  </si>
  <si>
    <t>Registros de asistencia, fotografías</t>
  </si>
  <si>
    <t>Actualización de Plan de Participación Ciudadana</t>
  </si>
  <si>
    <t>Nicolás Camacho</t>
  </si>
  <si>
    <t>Documento, página web</t>
  </si>
  <si>
    <t>Actualización de Redes Sociales</t>
  </si>
  <si>
    <t>Actualizaciones on line</t>
  </si>
  <si>
    <t># de actualizaciones</t>
  </si>
  <si>
    <t>Diseño de micrositios para temporadas y eventos relevantes</t>
  </si>
  <si>
    <t>Micrositios</t>
  </si>
  <si>
    <t># de micrositios</t>
  </si>
  <si>
    <t>Nicolás Camacho, Samuel Lancheros</t>
  </si>
  <si>
    <t>Micrositios, Número de visitantes</t>
  </si>
  <si>
    <t>Montaje y transmisión de chats y webcams con temas coyunturales</t>
  </si>
  <si>
    <t>Sesiones de chat</t>
  </si>
  <si>
    <t># de sesiones</t>
  </si>
  <si>
    <t>Grabaciones</t>
  </si>
  <si>
    <t>Cumplimiento de indicadores GEL</t>
  </si>
  <si>
    <t>Porcentaje de cumplimiento</t>
  </si>
  <si>
    <t>Indicadores GEL Vs. Indicadores UNGRD</t>
  </si>
  <si>
    <t>Montaje de web para niños</t>
  </si>
  <si>
    <t>Sitio Web para niños</t>
  </si>
  <si>
    <t># de documentos</t>
  </si>
  <si>
    <t>Nicolás Camacho, Diana Londoño, Jennifer Wilches, Juan Ballesteros</t>
  </si>
  <si>
    <t>Formulación y primeras pruebas para desarrollo de la INTRANET</t>
  </si>
  <si>
    <t>Sitio de prueba</t>
  </si>
  <si>
    <t># de documentos / # de sitios</t>
  </si>
  <si>
    <t>Nicolás Camacho, Jennifer Wilches</t>
  </si>
  <si>
    <t>Sitio de prueba intranet</t>
  </si>
  <si>
    <t>Documentación de casos de éxito sobre el abordaje comunitario y relacionamiento con los territorios, partiendo de la articulación con el área de Reducción del Riesgo</t>
  </si>
  <si>
    <t>Multimedia</t>
  </si>
  <si>
    <t>Samuel Lancheros, Yinet Pinilla, Diego Alfaro, Juan Ballesteros</t>
  </si>
  <si>
    <t>Documento, testimonios, multimedia</t>
  </si>
  <si>
    <t xml:space="preserve">Definición de acciones que respondan al componente de comunicación del Plan Nacional de Gestión del Riesgo </t>
  </si>
  <si>
    <t>Juego didáctico</t>
  </si>
  <si>
    <t>Juego</t>
  </si>
  <si>
    <t># de juegos</t>
  </si>
  <si>
    <t>Silvia Ballén, Amalia Polanco, Jennifer Wilchez, Juan Ballesteros</t>
  </si>
  <si>
    <t># 30.000.000</t>
  </si>
  <si>
    <t>Relacionamiento con medios de comunicación nacionales, regionales y comunitarios.</t>
  </si>
  <si>
    <t>Monitoreo de medios y opinión pública</t>
  </si>
  <si>
    <t>Documentos de monitoreo</t>
  </si>
  <si>
    <t># de monitoreos</t>
  </si>
  <si>
    <t>Yinet Pinilla y OAC</t>
  </si>
  <si>
    <t>Comunicados de Prensa</t>
  </si>
  <si>
    <t>Comunicados</t>
  </si>
  <si>
    <t># de comunicados</t>
  </si>
  <si>
    <t>Yinet Pinilla, Diana Londoño</t>
  </si>
  <si>
    <t>Correos electrónicos, Página Web</t>
  </si>
  <si>
    <t>Informes Especiales</t>
  </si>
  <si>
    <t>Informes</t>
  </si>
  <si>
    <t># de informes</t>
  </si>
  <si>
    <t>Yinet Pinilla, Juan Ballesteros, Diana Londoño</t>
  </si>
  <si>
    <t>Ruedas de prensa para la comunicación de acciones</t>
  </si>
  <si>
    <t>Ruedas de prensa</t>
  </si>
  <si>
    <t># de ruedas de prensa</t>
  </si>
  <si>
    <t>Amalia Polanco, Yinet Pinilla, Jalime</t>
  </si>
  <si>
    <t>Invitaciones, fotografías, videos</t>
  </si>
  <si>
    <t># de reuniones</t>
  </si>
  <si>
    <t>Alianza con Fundación en Periodismo para la capacitación de periodistas en GRD</t>
  </si>
  <si>
    <t>Alianza</t>
  </si>
  <si>
    <t># periodistas beneficiados</t>
  </si>
  <si>
    <t>Diana Londoño, Samuel Lancheros, Yinet Pinilla,  Amalia Polanco</t>
  </si>
  <si>
    <t>Firma del convenio, fotografías, periodistas inscritos</t>
  </si>
  <si>
    <t>$ 147.700.00</t>
  </si>
  <si>
    <t>Reconocimiento (entrega de premio) al periodismo acertivo en GRD</t>
  </si>
  <si>
    <t>Postulaciones</t>
  </si>
  <si>
    <t># de postulaciones / # de eventos</t>
  </si>
  <si>
    <t>Evento, fotografías, videos, postulaciones</t>
  </si>
  <si>
    <t>Posicionamiento de la marca y la identidad institucional.</t>
  </si>
  <si>
    <t>Elaboración de material educativo/ promocional de la Entidad (pendones, backing, brochure)</t>
  </si>
  <si>
    <t># de productos</t>
  </si>
  <si>
    <t>Jennifer Wilches / Juan Ballesteros</t>
  </si>
  <si>
    <t>Fotografías, página web</t>
  </si>
  <si>
    <t>Reformulación de look visual de envíos masivos de información e incremento de funcionalidad de los mismos</t>
  </si>
  <si>
    <t>Aplicativo digital</t>
  </si>
  <si>
    <t># de aplicativos</t>
  </si>
  <si>
    <t>Jennifer Wilchez / Nicolás Camacho</t>
  </si>
  <si>
    <t>Formulación de estrategia para el abordaje de la Comunicación Interna</t>
  </si>
  <si>
    <t>Jennifer Wilches</t>
  </si>
  <si>
    <t>Concertación con el equipo de Talento Humano al respecto de las expectativas y actividades para la fidelización de los miembros de la UNGRD</t>
  </si>
  <si>
    <t>Reunión</t>
  </si>
  <si>
    <t xml:space="preserve"># de acciones conjuntas desarrolladas / # de reuniones </t>
  </si>
  <si>
    <t>Acta de la reunión</t>
  </si>
  <si>
    <t>Encuesta a empleados para determinar percepción sobre aspectos de clima organizacional, cultura organizacional a través de la eficiencia de las plataformas internas para la comunicación</t>
  </si>
  <si>
    <t>Encuesta</t>
  </si>
  <si>
    <t># de Encuestas realizadas y tabuladas</t>
  </si>
  <si>
    <t>Document con resultados tabulados de la encuesta</t>
  </si>
  <si>
    <t>Campañas creativas para la motivación, integración, sensibilización y promoción de la adecuada identidad e imagen corporativa entre empleados y contratistas</t>
  </si>
  <si>
    <t># de Campañas / # de personas vinculadas a las campañas</t>
  </si>
  <si>
    <t>Documento de resultado de las campañas</t>
  </si>
  <si>
    <t>Producción de boletín de noticias sobre personal y novedades de la UNGRD y cartelera</t>
  </si>
  <si>
    <t>Actualización de Carteleras, televisores y otros medios para la difusión de noticias de carácter interno</t>
  </si>
  <si>
    <t>Rotafolios</t>
  </si>
  <si>
    <t># de actualizaciones de rotafoios / # de actualizaciones de documentos en cartelera</t>
  </si>
  <si>
    <t>Rotafolios y documentos publicados en cartelera</t>
  </si>
  <si>
    <t>Diseño de producto para la capacitación de voceros y líderes de procesos (F.A)</t>
  </si>
  <si>
    <t>Capacitaciones y documentos</t>
  </si>
  <si>
    <t># de capacitaciones / # de documentos resultantes</t>
  </si>
  <si>
    <t>Diana Londoño, Jennifer Wilches, Amalia Polanco</t>
  </si>
  <si>
    <t>Actas, videos, fotografías</t>
  </si>
  <si>
    <t>Estrategia de asignación de corresponsales para el cubrimiento de las acciones de diferentes áreas de la Entidad y para la adecuada promoción de contenidos</t>
  </si>
  <si>
    <t>Correo electrónico con instrucción</t>
  </si>
  <si>
    <t>Fortalecimiento del banco de fotografías y video</t>
  </si>
  <si>
    <t>Fotografías y Video</t>
  </si>
  <si>
    <t># de álbumes</t>
  </si>
  <si>
    <t>Diego Alfaro</t>
  </si>
  <si>
    <t>Archivo General Digital</t>
  </si>
  <si>
    <t>Producción de piezas audiovisuales prioritarias institucionales: 1. Brigada, 2. RUD, 3. Maloka 4. Comerciales de actualización misional</t>
  </si>
  <si>
    <t>Videos</t>
  </si>
  <si>
    <t># de videos</t>
  </si>
  <si>
    <t>Archivo compartido de fotografía, canales web</t>
  </si>
  <si>
    <t>Producción de la Semana/Mes en Imágenes</t>
  </si>
  <si>
    <t>Canal Youtube, Banco de imágenes</t>
  </si>
  <si>
    <t>Capacitación interna en fotografía y uso de las cámaras</t>
  </si>
  <si>
    <t xml:space="preserve">Reunión </t>
  </si>
  <si>
    <t>Trámite de código cívico para promoción de acciones de la UNGRD y SNGRD</t>
  </si>
  <si>
    <t>Trámite para comercial</t>
  </si>
  <si>
    <t># comerciales publicados</t>
  </si>
  <si>
    <t>Diego Alfaro, Amalia Polanco</t>
  </si>
  <si>
    <t>Copia de solicitudes a ANTV</t>
  </si>
  <si>
    <t>Libro digital de memoria histórica fotográfica del SNGRD y UNGRD</t>
  </si>
  <si>
    <t># de libros</t>
  </si>
  <si>
    <t>Fortalecimiento de la comunicacion en emergencias.</t>
  </si>
  <si>
    <t>Elaboración del manual del comunicador en emergencia</t>
  </si>
  <si>
    <t>Carolina Giraldo, Diana Londoño, Samuel Lancheros, Yinet Pinilla</t>
  </si>
  <si>
    <t>Documentos, Reuniones</t>
  </si>
  <si>
    <t>Producción de eventos internos y externos.</t>
  </si>
  <si>
    <t>Manual de protocolo y etiqueta institucional</t>
  </si>
  <si>
    <t>Archivo General / Correo Electrónico</t>
  </si>
  <si>
    <t>31/110/2015</t>
  </si>
  <si>
    <t>Perfeccionamiento de check list para montaje y producción de eventos</t>
  </si>
  <si>
    <t>Archivo compartido, Drive, Correo electrónico</t>
  </si>
  <si>
    <t>Montaje de eventos externos</t>
  </si>
  <si>
    <t>Eventos</t>
  </si>
  <si>
    <t># de eventos</t>
  </si>
  <si>
    <t>Fotografías, videos, invitaciones</t>
  </si>
  <si>
    <t>Montaje de eventos internos</t>
  </si>
  <si>
    <t>Alineación de estrategia para la evacuación y normas de seguridad en eventos con la Brigada institucional</t>
  </si>
  <si>
    <t>Documento y video</t>
  </si>
  <si>
    <t># de documentos / # de reuniones</t>
  </si>
  <si>
    <t>Montaje especial de evento: 30 años del SNGRD</t>
  </si>
  <si>
    <t>Fotografías, videos, invitaciones, registros de asistencia</t>
  </si>
  <si>
    <t>Centro de documentación en Gestión del Riesgo de Desastres.</t>
  </si>
  <si>
    <t xml:space="preserve">Implementación y puesta en marcha repositorio digital + digitalización de documentos </t>
  </si>
  <si>
    <t>Software</t>
  </si>
  <si>
    <t># de softwares</t>
  </si>
  <si>
    <t>Johana Rojas, Jeisson Roncancio ,funcionario (OAPI)</t>
  </si>
  <si>
    <t>$ 50,000,000</t>
  </si>
  <si>
    <t>Socialización con las áreas de la UNGRD para presentación del Centro y para la captación de información para el mismo</t>
  </si>
  <si>
    <t>Johana Rojas, Jeisson Roncancio</t>
  </si>
  <si>
    <t>Mapeo de información de gestión del riesgo Centros de Documentación Red SINA</t>
  </si>
  <si>
    <t>Material recopilado</t>
  </si>
  <si>
    <t>Listado de documentos</t>
  </si>
  <si>
    <t xml:space="preserve"> Actualización de material digital en Koha</t>
  </si>
  <si>
    <t># de registros con link</t>
  </si>
  <si>
    <t>Software-Web</t>
  </si>
  <si>
    <t>Incrementar el número de visitantes a través del uso de herramientas y campañas de comunicación</t>
  </si>
  <si>
    <t xml:space="preserve">Johana Rojas, Jeisson Roncancio </t>
  </si>
  <si>
    <t>Registro de Materiales Bibliográficos</t>
  </si>
  <si>
    <t xml:space="preserve">Relizar la catalogación y clasificación (teniendo encuenta las RCAA2 y el formato MARC21) de los diferentes tipos de documentos que posee el centro de documentación </t>
  </si>
  <si>
    <t>Materiales Bibliográficos</t>
  </si>
  <si>
    <t>N° de Materiales bibliográficos Catalogados y clasificados</t>
  </si>
  <si>
    <t>Documentos de registro</t>
  </si>
  <si>
    <t>Planes de mejoramiento de la entidad.</t>
  </si>
  <si>
    <t>Elabración de Planes de Mejoramiento de acuerdo a las observaciones realizadas por los entes de control y la Oficina de Control Interno</t>
  </si>
  <si>
    <t>por demanda</t>
  </si>
  <si>
    <t xml:space="preserve">Por demanda </t>
  </si>
  <si>
    <t>Sistema Integrado de Planeación y Gestión</t>
  </si>
  <si>
    <t>Liderar la el cargue en la plataforma de Neogestion la medición de los indicadores de gestión de cada uno de los procesos liderados por la dependencia de acuerdo a la periodicidad establecida en las fichas de indicadores</t>
  </si>
  <si>
    <t>Diana Londoño
OAPI
 Grupo de Apoyo Administrativo
Subdirección General</t>
  </si>
  <si>
    <t>GRUPO DE CONTRATACIÓN</t>
  </si>
  <si>
    <t>Fortalecimiento de la gestión precontractual y contractual</t>
  </si>
  <si>
    <t>Fortalecimiento de la estructuración de la etapa precontractual.</t>
  </si>
  <si>
    <t>No. De capacitaciones realizadas</t>
  </si>
  <si>
    <t>Natalia Cortés</t>
  </si>
  <si>
    <t>Revisar los estudios y documentos previos para la contratación de bienes, servicios y obras en la UNGRD</t>
  </si>
  <si>
    <t xml:space="preserve">Estudios y documentos previos </t>
  </si>
  <si>
    <t>Sujeto a demanda</t>
  </si>
  <si>
    <t>No de estudios y documentos previos revisados</t>
  </si>
  <si>
    <t>Documentos con observaciones</t>
  </si>
  <si>
    <t>Elaboración de contrato</t>
  </si>
  <si>
    <t>Contratos</t>
  </si>
  <si>
    <t>No de contratos elaborados/N° de contratos radicados</t>
  </si>
  <si>
    <t>Documento firmado</t>
  </si>
  <si>
    <t>Aprobar las garantías de los contratos</t>
  </si>
  <si>
    <t>Pólizas</t>
  </si>
  <si>
    <t>No de pólizas aprobadas/ N° Polizas recibidas</t>
  </si>
  <si>
    <t>Póliza en el contrato</t>
  </si>
  <si>
    <t>Elaborar las actas de designación de supervisores</t>
  </si>
  <si>
    <t>Actas de designación</t>
  </si>
  <si>
    <t>No de actas de designación elaboradas</t>
  </si>
  <si>
    <t>Documento físico</t>
  </si>
  <si>
    <t>Revisar las actas de liquidación, de suspensión, de terminación anticipada, de cesión.</t>
  </si>
  <si>
    <t>Actas</t>
  </si>
  <si>
    <t>No de actas revisadas</t>
  </si>
  <si>
    <t>Elaborar prorrogas, adiciones o modificaciones a los contratos</t>
  </si>
  <si>
    <t>Prorrogas, adiciones o modificaciones</t>
  </si>
  <si>
    <t>No de prorrogas, adiciones o modificaciones elaboradas</t>
  </si>
  <si>
    <t>Elaborar pliegos de condiciones definitivos para procesos de licitación, concurso o selección abreviada</t>
  </si>
  <si>
    <t>Pliegos de condiciones definitivos</t>
  </si>
  <si>
    <t>No de pliegos de condiciones definitivos elaboradas</t>
  </si>
  <si>
    <t>Fortalecimiento del ejercicio de la supervisión contractual.</t>
  </si>
  <si>
    <t>Sensibilizaciones</t>
  </si>
  <si>
    <t>No. De sensibilizaciones realizadas</t>
  </si>
  <si>
    <t>Listados de Asistencia y Memorias de las actividades de sensibilización</t>
  </si>
  <si>
    <t>Efectuar la actualización del mapa de riesgos de corrupción</t>
  </si>
  <si>
    <t>Mínimo 3</t>
  </si>
  <si>
    <t>Eficiencia en la ejecución financiera</t>
  </si>
  <si>
    <t>Programación y seguimiento del Plan Anual de Adquisiciones.</t>
  </si>
  <si>
    <t>Efectuar el seguimiento al Plan Anual de Adquisiciones para la vigencia 2015</t>
  </si>
  <si>
    <t>FR-1603-GBI-17 Plan Anual de Adquisiciones</t>
  </si>
  <si>
    <t>GRUPO DE COOPERACIÓN INTERNACIONAL</t>
  </si>
  <si>
    <t xml:space="preserve"> GRUPO DE COOPERACIÓN INTERNACIONAL</t>
  </si>
  <si>
    <t>GRUPO DE  COOPERACIÓN INTERNACIONAL</t>
  </si>
  <si>
    <t>A. FORTALECIMIENTO DE LA GOBERNABILIDAD Y EL DESARROLLO DEL SNGRD</t>
  </si>
  <si>
    <t>COOPERACIÓN PARA LA GESTIÓN DEL RIESGO DE DESASTRES</t>
  </si>
  <si>
    <t>Seguimiento y Actualización del Plan Estratégico de Cooperación Internacional - Gestión del Riesgo de Desastres (PECI)</t>
  </si>
  <si>
    <t>Actualización del Plan Estratégico de Cooperación Internacional para el  periodo 2015-2018</t>
  </si>
  <si>
    <t>No de Planes Estratégicos Actualizados</t>
  </si>
  <si>
    <t>Sara Pérez</t>
  </si>
  <si>
    <t>Documento Actualizado</t>
  </si>
  <si>
    <t>Diagramación e Impresión del PECI-GD 2015 - 2018</t>
  </si>
  <si>
    <t>No de impresiones del PECI-GD 2015 - 2018 diagramado</t>
  </si>
  <si>
    <t>Impresiones</t>
  </si>
  <si>
    <t>Evento de lanzamiento del PECI-GRD 2015 - 2018</t>
  </si>
  <si>
    <t>No de eventos realizados</t>
  </si>
  <si>
    <t>Registros de Asistencia</t>
  </si>
  <si>
    <t>Fortalecimiento de alianzas e intercambios con socios estratégicos para el Fortalecimiento del Sistema Nacional de Gestión del Riesgo de Desastres en Colombia y en el Exterior</t>
  </si>
  <si>
    <t>Gestionar nuevos convenios de cooperación y/o alianzas que faciliten la cooperación con socios estratégicos</t>
  </si>
  <si>
    <t>No de convenios nuevos firmados</t>
  </si>
  <si>
    <t>Santiago Núnez, Adolfo Ramirez y Nicolás Segura</t>
  </si>
  <si>
    <t>Documentos Firmados</t>
  </si>
  <si>
    <t>Gestionar la actualización de los convenios de cooperación y/o alianzas estratégicas vencidas o próximas a vencerse</t>
  </si>
  <si>
    <t>No de convenios actualizados firmados</t>
  </si>
  <si>
    <t>Santiago Núnez, Sara Pérez, Adolfo Ramirez y Nicolás Segura</t>
  </si>
  <si>
    <t>Realizar Planes de Acción para la   operativización e implementación de los convenios de cooperación</t>
  </si>
  <si>
    <t>Porcetaje de convenios firmados a la fecha de corte con plan de accion realizado ((Planes de acción realizados/número de convenios firmados)*100)</t>
  </si>
  <si>
    <t>Santiago Núnez, Sara Pérez y Nicolás Segura</t>
  </si>
  <si>
    <t>Archivos planes de acción</t>
  </si>
  <si>
    <t xml:space="preserve">Gestionar capacitaciones con los socios estratégicos de cooperación para el  fortalecimiento de las capacidades del personal de la UNGRD y del SNGRD </t>
  </si>
  <si>
    <t>No de personas capacitadas</t>
  </si>
  <si>
    <t>Camila Chaparro y Luis Ignacio Muñoz</t>
  </si>
  <si>
    <t>Comisiones, informes, certificados</t>
  </si>
  <si>
    <t xml:space="preserve"> Proyectos de Cooperación Internacional formulados que respondan a las demandas identificadas por el SNGRD </t>
  </si>
  <si>
    <t>No de proyectos formulados</t>
  </si>
  <si>
    <t>Margarita Arias</t>
  </si>
  <si>
    <t>Proyectos formulados</t>
  </si>
  <si>
    <t>Apoyo recibído de los socios estratégicos mediante recursos técnicos, técnológicos, físicos, humanos o financieros para fortalecer el SNGRD</t>
  </si>
  <si>
    <t>No de apoyos recibidos</t>
  </si>
  <si>
    <t>Santiago Núñez y Margarita Árias</t>
  </si>
  <si>
    <t>Actas de entrega</t>
  </si>
  <si>
    <t>Apoyo de los socios estratégicos en  el desarrollo de Simulacros  con obsevadores/evaluadores</t>
  </si>
  <si>
    <t>No de obsevadores/evaluadores apoyando los simulacros</t>
  </si>
  <si>
    <t>Santiago Núñez</t>
  </si>
  <si>
    <t>listas de asistencia, informe fotográfico, informes de evaluación</t>
  </si>
  <si>
    <t>Participación y representación del Gobierno Nacional en la Conferencia Mundial de Naciones Unidas sobre Reducción el Riesgo de Desastres en Sendai - Japón</t>
  </si>
  <si>
    <t>No de participantes</t>
  </si>
  <si>
    <t>Memorias, informes de misión, certificados.</t>
  </si>
  <si>
    <t>015/30/2015</t>
  </si>
  <si>
    <t>Apoyo en la consolidación y desarrollo de la sesión de Planificación del Uso del suelo en el marco de la Conferencia Mundial de Naciones Unidas sobre Reducción el Riesgo de Desastres en Sendai - Japón</t>
  </si>
  <si>
    <t>No de tiquetes financiados</t>
  </si>
  <si>
    <t>Tiquetes</t>
  </si>
  <si>
    <t>Coodinar y desarrollar eventos con socios estratégicos de cooperación internacional</t>
  </si>
  <si>
    <t>No de eventos desarrollados</t>
  </si>
  <si>
    <t>Nicolás Segura, Nicolas Segura y Adolfo Ramirez</t>
  </si>
  <si>
    <t>Memorias, certificados, lista de asistencia, registro forográfico</t>
  </si>
  <si>
    <t>Representar a la UNGRD en eventos internacionales de posicionamiento en materia de Gestión del Riesgo de Desastres</t>
  </si>
  <si>
    <t>No de eventos en los que se participa</t>
  </si>
  <si>
    <t xml:space="preserve">Documentos de Facilitación de las entidades que conforman la Comsión Técncia Asesora para la Cooperación Internacional en Situaciones de energencia  formulados  </t>
  </si>
  <si>
    <t>Porcentaje de documentos de facilitación formulados (Documentos de facilitación formulado/número de entidades que conforman la Comsión Técncia Asesora para la Cooperación Internacional en Situaciones de energencia)*100)</t>
  </si>
  <si>
    <t>Santiago Núñez y Fabricio López</t>
  </si>
  <si>
    <t>Documentos formulados</t>
  </si>
  <si>
    <t>Fortalecimiento de la Cooperación Sur-Sur y Cooperación Triangular</t>
  </si>
  <si>
    <t>Identificar y documentar  buenas prácticas  de GDR de acuerdo con  la Guía de Buenas Prácticas de Colombia para la Cooperación Sur-Sur de APC - Colombia</t>
  </si>
  <si>
    <t>No de fichas aprobadas</t>
  </si>
  <si>
    <t>Fichas de Documentación aprobadas</t>
  </si>
  <si>
    <t>Identificar y documentar  buenas prácticas  en GDR en lo local de acuerdo con el formato de Cooperación Internacional</t>
  </si>
  <si>
    <t>No de buenas prácticas en GRD en lo local</t>
  </si>
  <si>
    <t>Fichas de Documentación diligenciadas</t>
  </si>
  <si>
    <t>Coordinar visitas de Intercambio de Experiencias y Buenas Prácticas con otros países</t>
  </si>
  <si>
    <t>Visitas</t>
  </si>
  <si>
    <t>No de visitas realizadas</t>
  </si>
  <si>
    <t>Santiago Nuñez y Nicolás Segura</t>
  </si>
  <si>
    <t>Registro fotográfico/ Formato de asistencia</t>
  </si>
  <si>
    <t>Santiago Nuñez</t>
  </si>
  <si>
    <t>No de Reuniones de Seguimiento realizadas</t>
  </si>
  <si>
    <t>Informe de Seguimiento/Formato de Asistencia</t>
  </si>
  <si>
    <t>GRUPO DE APOYO FINANCIERO Y CONTABLE</t>
  </si>
  <si>
    <t>Fortalecimiento de la implementacion de la Política Nacional para la Gestión del Riesgo de Desastres</t>
  </si>
  <si>
    <t>Administración eficiente del Fondo Nacional de Gestión del Riesgo</t>
  </si>
  <si>
    <t>Implementar el software FIDUSAP en el manejo presupuestal y autorizaciones de pago de las subcuentas que componen el FNGRD así como su actualización</t>
  </si>
  <si>
    <t>N° de reportes elaborados</t>
  </si>
  <si>
    <t>Sandra Hernández</t>
  </si>
  <si>
    <t>Documento físico y magnético generado por el aplicativo respecto a Informes y actualización</t>
  </si>
  <si>
    <t>De acuerdo a la generacion de los mismos</t>
  </si>
  <si>
    <t>Número de registros migrados a la herramienta</t>
  </si>
  <si>
    <t>Tablas del sistema FIDUSAPen las que se evidencia la Migración de Informacion</t>
  </si>
  <si>
    <t>Backup y control de la informacion registrada en el aplicativo antiguo y nuevo</t>
  </si>
  <si>
    <t>Archivo magnético de Informes</t>
  </si>
  <si>
    <t>Socializar los procesos del FNGRD y el respectivo seguimiento</t>
  </si>
  <si>
    <t>N° de socializaciones realizadas</t>
  </si>
  <si>
    <t>Sandra Hernández y Carlos Segura</t>
  </si>
  <si>
    <t>Listado de asistencia y Memorias de las capacitaciones</t>
  </si>
  <si>
    <t>Elaborar reportes e informes presupuestales de las subcuentas del FNGRD y su presentacion</t>
  </si>
  <si>
    <t>N°. De Reportes e Informes</t>
  </si>
  <si>
    <t>Carlos Segura y Alejandra Sanchez</t>
  </si>
  <si>
    <t>Documento físico y magnético de los Reportes e Informes</t>
  </si>
  <si>
    <t>Gestionar la ejecucion de los CDP del presupuesto del FNGRD</t>
  </si>
  <si>
    <t>N° de CDP elaborados</t>
  </si>
  <si>
    <t>Documento físico y magnético de las afectaciones presupuestales</t>
  </si>
  <si>
    <t>Revision y gestion del tramite de las autorizaciones de desembolsos para enviar a pagos</t>
  </si>
  <si>
    <t>N° de autorizaciones</t>
  </si>
  <si>
    <t>Documento físico y magnético de la autorización de Desembolsos</t>
  </si>
  <si>
    <t>Gestionar los ajustes requeridos en los desembolsos del FNGRD</t>
  </si>
  <si>
    <t>N° de Solicitudes</t>
  </si>
  <si>
    <t>Documento físico y magnético de las Solicitudes de Ajustes</t>
  </si>
  <si>
    <t>Elaborar conciliación desembolsos Vs pagos con la Fiduprevisora</t>
  </si>
  <si>
    <t>N° de informes presentados</t>
  </si>
  <si>
    <t>Documento físico y magnético Informe de conciliación</t>
  </si>
  <si>
    <t>Elaborar las estadísticas de los pagos del FNGRD</t>
  </si>
  <si>
    <t>Sandra Hernández /  Yan Roa</t>
  </si>
  <si>
    <t>Medio magnético del Informe estadístico</t>
  </si>
  <si>
    <t>Analisar, Elaborar y Presentar los Estados de Cuenta (Tableros de Control) de las diferentes lineas</t>
  </si>
  <si>
    <t>N° de Estados de Cuenta (Tablero de Control)</t>
  </si>
  <si>
    <t>Medio Magnético de Estados de Cuenta (Tableros de Control)</t>
  </si>
  <si>
    <t xml:space="preserve">Seguimiento y cruce rendimientos financieros vs comisión fiduciaria </t>
  </si>
  <si>
    <t>Documento físico y magnético Informe de cruce</t>
  </si>
  <si>
    <t>Seguimiento y control  de los contratos suscritos por el FNGRD</t>
  </si>
  <si>
    <t>Fernando Barbosa</t>
  </si>
  <si>
    <t>Documento físico y magnético del Informe de Seguimiento</t>
  </si>
  <si>
    <t>Ejecución y Seguimiento a la ejecución y planificación presupuestal.</t>
  </si>
  <si>
    <t>Elaborar la desagregación presupuestal para la vigencia 2015</t>
  </si>
  <si>
    <t>Nº de presupuestos desagregados</t>
  </si>
  <si>
    <t>Patricia Gallego</t>
  </si>
  <si>
    <t>Documento de Presupuesto y Reporte SIIF</t>
  </si>
  <si>
    <t>N° de cuentas por pagar conciliadas</t>
  </si>
  <si>
    <t>Jairo Abaunza/Henry Venegas</t>
  </si>
  <si>
    <t>Documento de Cuentas por pagar conciliadas y Reporte SIIF</t>
  </si>
  <si>
    <t>Realizar los pagos de las cuentas de la UNGRD</t>
  </si>
  <si>
    <t>N° de pagos realizados</t>
  </si>
  <si>
    <t>Maria Ortiz/Tatiana Laverde.</t>
  </si>
  <si>
    <t>Reporte SIIF</t>
  </si>
  <si>
    <t>Elaborar los Certificados de Disponibilidad Presupuestal en el SIIF</t>
  </si>
  <si>
    <t>N° de CDP's elaborados</t>
  </si>
  <si>
    <t>Patricia Gallego/ Mario David Perez</t>
  </si>
  <si>
    <t>Base de datos de certificados elaborados y Reporte SIIF</t>
  </si>
  <si>
    <t>Elaborar Registros Presupuestales en el SIIF</t>
  </si>
  <si>
    <t>N° de RP's elaborados</t>
  </si>
  <si>
    <t>Patricia Gallego/ Mario Daviv Perez</t>
  </si>
  <si>
    <t>Base de datos de registros Presupuestales yReporte SIIF</t>
  </si>
  <si>
    <t>Registrar la causación de obligaciones en el SIIF</t>
  </si>
  <si>
    <t>N° de causación de obligaciones registrados en el SIIF</t>
  </si>
  <si>
    <t>Registros de causación de obligaciones y Reporte SIIF</t>
  </si>
  <si>
    <t xml:space="preserve">Conciliar las cuentas bancarias </t>
  </si>
  <si>
    <t>Nº de conciliaciones de cuentas elaboradas</t>
  </si>
  <si>
    <t>FORMATO DE CONCILIACION BANCARIA CÓDIGO: FR-1605-GF-27 UNA POR LA CUENTA CORRIENTE Y OTRA DE DONACIONES</t>
  </si>
  <si>
    <t>Radicar cuentas por pagar en el SIIF</t>
  </si>
  <si>
    <t>N° de cuentas por pagar radicadas en el SIIF</t>
  </si>
  <si>
    <t>Elaboracion Plan Anual mensualizado para Distribucion de PAC año 2015</t>
  </si>
  <si>
    <t>N° de PAC anual elaborados</t>
  </si>
  <si>
    <t>Formato PAC de Ministerio de Hacienda de acuerdo al plan a los Gastos de Personal, Gastos Generales, proyectos de inversión y Transferencias.</t>
  </si>
  <si>
    <t>Elaborar la programación del PAC Mensual</t>
  </si>
  <si>
    <t xml:space="preserve">N° de PAC mensual programados </t>
  </si>
  <si>
    <t>Formato de Acta de Consolidacion CÓDIGO:    FR-1605-GF-36 en el que se compila el PAC mensual</t>
  </si>
  <si>
    <t>Fortalecimiento del apoyo financiero y contable</t>
  </si>
  <si>
    <t>Información financiera oportuna para la toma de decisiones.</t>
  </si>
  <si>
    <t>Presentar reportes de ejecución presupuestal de la UNGRD</t>
  </si>
  <si>
    <t>N° de reportes presentados a OAPI</t>
  </si>
  <si>
    <t>Reporte SIIF entregados los días Lunes de cada semana</t>
  </si>
  <si>
    <t>Elaborar los informes de operaciones reciprocas, saldos y movimientos en el sistema CHIP - Contaduría General</t>
  </si>
  <si>
    <t>N° de informes de operaciones presentados</t>
  </si>
  <si>
    <t>Luis Carvjal/Henry Venegas</t>
  </si>
  <si>
    <t>Reporte SIIF - Informes de operaciones</t>
  </si>
  <si>
    <t>Elaborar el balance general de la UNGRD de la vigencia 2014</t>
  </si>
  <si>
    <t>Número de Balances elaborados</t>
  </si>
  <si>
    <t>Luis Carvajal</t>
  </si>
  <si>
    <t>Balance general 2014 Documento firmado y publicado</t>
  </si>
  <si>
    <t>Elaborar el Balance General con corte mensual de la UNGRD durante la vigencia 2015</t>
  </si>
  <si>
    <t>No. De Balances Mensuales elaborados</t>
  </si>
  <si>
    <t>Balances con corte mensual elaborados. Documento firmado y publicado</t>
  </si>
  <si>
    <t>Presentar el informe de "Información Exógena" a la DIAN</t>
  </si>
  <si>
    <t>No. De Informes presentados</t>
  </si>
  <si>
    <t>Henry Venegas</t>
  </si>
  <si>
    <t>Formato 10006 - Presentación de Información para envío de archivos DIAN</t>
  </si>
  <si>
    <t>Presentar el informe de Información Exógena  distrital a la SHD</t>
  </si>
  <si>
    <t>Documento de resultado de cargue de archivo enviado por la SHD</t>
  </si>
  <si>
    <t>Presentar la declaración de retención en la fuente a la DIAN</t>
  </si>
  <si>
    <t>No. De Declaraciones de Retención en la fuente presentadas</t>
  </si>
  <si>
    <t xml:space="preserve">Fromato No.350 Declaración Mensual de Retención en la Fuente DIAN </t>
  </si>
  <si>
    <t>Presentar la declaración de retención de ICA - Secretaria de Hacienda Distrital</t>
  </si>
  <si>
    <t>No. De declaraciones de Retención del ICA presentadas</t>
  </si>
  <si>
    <t>Formulario de autoliquidación electrónica asistida de retenciones del impuesto de industria y comercio, avisos y tableros No. 331.</t>
  </si>
  <si>
    <t>Sistemas de información para manejo presupuestal eficiente, eficaz y efectivo.</t>
  </si>
  <si>
    <t>Gestionar las actividades necesarias a fin de generar un aplicativo que permita la elaboración y consolidación del PAC mensualizado</t>
  </si>
  <si>
    <t>Aplicativo</t>
  </si>
  <si>
    <t>No. De aplicativos desarrollados</t>
  </si>
  <si>
    <t>María Ortiz</t>
  </si>
  <si>
    <t>Aplicativo desarrollado</t>
  </si>
  <si>
    <t>Seguimiento a la ejecución presupuestal.</t>
  </si>
  <si>
    <t>Realizar informes de ejecución presupuestal de manera mensual los cuales se publican en la página web  adicional a los estados financieros.</t>
  </si>
  <si>
    <t>No. De informes elaborados y publicados</t>
  </si>
  <si>
    <t>Mensualmente y trimestralmente se emiten informes de la ejecución presupuestal a la fecha</t>
  </si>
  <si>
    <t>Realizar seguimiento a las conciliaciones entre CDP's y compromisos, así como Compromisos vs obligaciones</t>
  </si>
  <si>
    <t>No. De conciliaciones realizadas</t>
  </si>
  <si>
    <t>Informes mensuales de conciliación entre CDP's y compromisos, así como Compromisos vs obligaciones</t>
  </si>
  <si>
    <t>Direccionamiento de procedimientos de la cadena presupuestal.</t>
  </si>
  <si>
    <t xml:space="preserve">Realizar capacitaciones a los funcionarios y contratistas de la entidad los procedimientos a efectuar para la programación de vigencias futuras y cupo PAC. </t>
  </si>
  <si>
    <t>La capacitación de Cupo PAC se realizará una en cada uno de los semestres, y la de  vigencias futuras se realizará en el útlimo trimestre del año. El sustento será los listados de asistencia y las diapósitivas.</t>
  </si>
  <si>
    <t>Participar en las acividades de capacitacion programadas por el Minhacienda para la actualizacion en el manejo de la plataforma del SIIF</t>
  </si>
  <si>
    <t>De acuerdo a la oferta programadas por el MinHacienda</t>
  </si>
  <si>
    <t>No de capacitaciones certificadas</t>
  </si>
  <si>
    <t>Paulina Hernandez y Maria Ortiz</t>
  </si>
  <si>
    <t>Certificaciones emitidas por el Minhacieda</t>
  </si>
  <si>
    <t>De Acuerdo a la oferta programadas por el Minhacienda</t>
  </si>
  <si>
    <t>Paulina Hernández /Maria Ortiz</t>
  </si>
  <si>
    <t>Gestión Estratégica</t>
  </si>
  <si>
    <t>Elaboración de Planes de Mejoramiento de acuerdo a las observaciones realizadas por los entes de control y la Oficina de Control Interno</t>
  </si>
  <si>
    <t>Paulina Hernández/Luis Carvajal</t>
  </si>
  <si>
    <t>Sistema Integrado de Planeación y Gestión.</t>
  </si>
  <si>
    <t>Maria Ortiz</t>
  </si>
  <si>
    <t>Actualizaciones a los mapas de riesgos</t>
  </si>
  <si>
    <t>OFICINA ASESORA JURÍDICA</t>
  </si>
  <si>
    <t>Apoyo jurídico eficiente</t>
  </si>
  <si>
    <t>Asesoramiento jurídico eficiente a la Dirección y sus dependencias.</t>
  </si>
  <si>
    <t>Participar en la elaboración de documentos de contenido jurídico, proyectos de reglamento, manuales y en general, trabajos especificados que sean asignados por la Dirección General</t>
  </si>
  <si>
    <t>Documentos de contenido jurídico</t>
  </si>
  <si>
    <t>No de documentos de contenido jurídico en los que participa la OAJ</t>
  </si>
  <si>
    <t>Jorge Bunch</t>
  </si>
  <si>
    <t xml:space="preserve">Documentos </t>
  </si>
  <si>
    <t>Elaboración de estudios y conceptos jurídicos de proyectos de Ley o actos administrativos.</t>
  </si>
  <si>
    <t xml:space="preserve">Preparar y revisar proyectos de acto administrativo y de Ley </t>
  </si>
  <si>
    <t xml:space="preserve">Proyectos de acto administrativo y de Ley </t>
  </si>
  <si>
    <t xml:space="preserve">No de proyectos de acto administrativo y de Ley </t>
  </si>
  <si>
    <t>Oficios de respuesta</t>
  </si>
  <si>
    <t>Políticas de prevención de daño antijurídico.</t>
  </si>
  <si>
    <t xml:space="preserve">Definición e implementación de la Política de prevención del Daño Antijurídico </t>
  </si>
  <si>
    <t>Documento de Política de Daño Antijurídico</t>
  </si>
  <si>
    <t xml:space="preserve">Defensa judicial eficiente. </t>
  </si>
  <si>
    <t>Atender las peticiones y consultas efectuadas ante la Oficina Asesora Jurídica en un término máximo de 15 días</t>
  </si>
  <si>
    <t>Respuestas a peticiones y consultas</t>
  </si>
  <si>
    <t xml:space="preserve">No de consultas atendidas por la OAJ en un término máximo de 15 días/ No de consultas recibidas por la OAJ </t>
  </si>
  <si>
    <t>Oficios de respuesta y base de datos de registro</t>
  </si>
  <si>
    <t>Atender oportunamente las acciones judiciales (promovidos por la UNGRD o en contra de ella)</t>
  </si>
  <si>
    <t xml:space="preserve">Acciones Judiciales </t>
  </si>
  <si>
    <t xml:space="preserve">No de acciones judiciales atendidas por la OAJ dentro del término oportuno /  No de acciones judiciales recibidas por la OAJ </t>
  </si>
  <si>
    <t>Oficios de respuesta y planillas de seguimiento</t>
  </si>
  <si>
    <t>OFICINA ASESORA DE PLANEACIÓN E INFORMACIÓN</t>
  </si>
  <si>
    <t>Fortalecer el Sistema Nacional de Información de Gestión del Riesgo de Desastres - SNIGRD.</t>
  </si>
  <si>
    <t>Actualización y ajuste del marco conceptual del Sistema Nacional de Información de Gestión del Riesgo de Desastres - SNIGRD</t>
  </si>
  <si>
    <t>Documento desarrollado</t>
  </si>
  <si>
    <t>Documento con el marco conceptual producto de una consultoria (Proyecto de Inversión)</t>
  </si>
  <si>
    <t>UNGRD - INVERSIÓN</t>
  </si>
  <si>
    <t>Fortalecimiento de la plataforma tecnológica</t>
  </si>
  <si>
    <t>No. de contratos realizados</t>
  </si>
  <si>
    <t>Contrato para fortalecer la Plataforma  del SNIGRD  de acuerdo a los resultados y avances de la consultoría Actualización y ajuste del marco conceptual del Sistema Nacional de Información de Gestión del Riesgo de Desastres - SNIGRD</t>
  </si>
  <si>
    <t>Realizar acuerdos de información con entidades del SNGRD para su articulación con el Sistema Nacional de Información de Gestión del Riesgo de Desastres - SNIGRD</t>
  </si>
  <si>
    <t>Acuerdo</t>
  </si>
  <si>
    <t>Acuerdo firmado con entidades del SNGRD</t>
  </si>
  <si>
    <t>Formulación, articulación y seguimiento de la política pública de gestión del riesgo de desastres.</t>
  </si>
  <si>
    <t>Seguimiento a la elaboración e implementación de políticas públicas</t>
  </si>
  <si>
    <t>No. de reportes de seguimiento a políticas elaborados</t>
  </si>
  <si>
    <t>Jessica Giraldo</t>
  </si>
  <si>
    <t>Reportes de seguimiento</t>
  </si>
  <si>
    <t>Seguimiento a las metas del Plan Nacional de Desarrollo a cargo de la UNGRD - SPI</t>
  </si>
  <si>
    <t>No. de documentos de seguimiento elaborados</t>
  </si>
  <si>
    <t>Reporte de seguimiento</t>
  </si>
  <si>
    <t>Realizar Seguimiento a los avances de los documentos Conpes SNGRD</t>
  </si>
  <si>
    <t>No. de informes de seguimiento</t>
  </si>
  <si>
    <t>Informes de seguimiento</t>
  </si>
  <si>
    <t>Reglamentación del Fondo Nacional de Gestión del Riesgo de Desastres - FNGRD /  Reglamentación de la Ley 1523 de 2012.</t>
  </si>
  <si>
    <t>Acompañamiento a la Asistencia Técnica prestada por Banco Mundial para el proceso de reglamentación del Fondo Nacional de Gestión del Riesgo de Desastres y de la Ley 1523 de 2012.</t>
  </si>
  <si>
    <t>Número de documentos elaborados</t>
  </si>
  <si>
    <t>Documentos elaborados y remitidos a los miembros del Banco Mundial tales como correos electrónicos, documentos de política pública, normas y decretos, entre otros.</t>
  </si>
  <si>
    <t>B. CONOCIMIENTO DEL RIESGO</t>
  </si>
  <si>
    <t>Fomento de la gestión del riesgo de desastres en la educación nacional</t>
  </si>
  <si>
    <t>Comunicación del riesgo a las entidades públicas y privadas y a la población, con fines de información pública, percepción y toma de conciencia.</t>
  </si>
  <si>
    <t>Intensificación del proceso de Participación ciudadana y comunitaria para la reducción del riesgo de desastres.</t>
  </si>
  <si>
    <t>Formulación y gestión de una agenda de investigación aplicada en gestión del riesgo de desastres que incluya las diferencias y necesidades de carácter regional, local y sectorial.</t>
  </si>
  <si>
    <t>Definición de lineamientos de incorporación de Cambio Climático en los instrumentos de planificación del desarrollo a manera de investigación y articulada con las entidades integrantes del SINA.</t>
  </si>
  <si>
    <t>Diseño de lineamientos técnicos para la implementación de directrices y recomendaciones de la OCDE frente a accidentes químicos, en el marco del Comisión Nacional de Riesgo Tecnológico (pendiente responsable es meta PND)</t>
  </si>
  <si>
    <t>C. REDUCCIÓN DEL RIESGO</t>
  </si>
  <si>
    <t>Protección Financiera</t>
  </si>
  <si>
    <t>Gestión Financiera y Aseguramiento ante el Riesgo de Desastres.</t>
  </si>
  <si>
    <t xml:space="preserve">Apoyar la implementación de la estrategia de protección financiera de la Nación frente a los desastres y propuestas y seguimiento al protocolo que se debe llevar a cabo para la activación del crédito con Banco Mundial </t>
  </si>
  <si>
    <t>D. MANEJO DE DESASTRES</t>
  </si>
  <si>
    <t>Ejecución de simulacros de actuación.</t>
  </si>
  <si>
    <t>Elaborar el anteproyecto de presupuesto de la UNGRD</t>
  </si>
  <si>
    <t>Anteproyecto de presupuesto</t>
  </si>
  <si>
    <t>No. de anteproyecto de presupuesto</t>
  </si>
  <si>
    <t>Documento físico y magnético de anteproyecto de presupuesto</t>
  </si>
  <si>
    <t xml:space="preserve">Formulación acuerdos de desempeño (Proyección de metas de ejecución presupuestal anual de la UNGRD) </t>
  </si>
  <si>
    <t>No.  Documentos de acuerdo de desempeño</t>
  </si>
  <si>
    <t>Documento de acuerdo de desempeño</t>
  </si>
  <si>
    <t>Seguimiento a las metas de ejecución presupuestal de la UNGRD</t>
  </si>
  <si>
    <t>No. De reportes de seguimiento realizados</t>
  </si>
  <si>
    <t>Ficha de reporte al seguimiento de la ejecución presupuestal</t>
  </si>
  <si>
    <t xml:space="preserve">Presentar reportes de ejecución presupuestal al MHCP </t>
  </si>
  <si>
    <t>No de reportes de ejecución elaborados</t>
  </si>
  <si>
    <t>Documento físico y magnético</t>
  </si>
  <si>
    <t>Tramitar la viabilidad de las modificaciones presupuestales ante las instancias competentes</t>
  </si>
  <si>
    <t>Acuerdos aprobados</t>
  </si>
  <si>
    <t>Seguimiento a los recursos de la subcuenta principal de FNGRD</t>
  </si>
  <si>
    <t>No. de documentos de seguimientos elaborados</t>
  </si>
  <si>
    <t>Documento de Balance de los recursos de la subcuenta principal del FNGRD</t>
  </si>
  <si>
    <t>Desarrollar informe final de la ejecución presupuestal de la UNGRD</t>
  </si>
  <si>
    <t>Eliana Grandas</t>
  </si>
  <si>
    <t>Documento de nforme final de la ejecución presupuestal de la UNGRD</t>
  </si>
  <si>
    <t>Solicitud de recursos para la implementación de la Política de Gestión del Riesgo de Desastres al MHYCP</t>
  </si>
  <si>
    <t>Solicitudes</t>
  </si>
  <si>
    <t>Oficios radicados en el Ministerio de Hacienda</t>
  </si>
  <si>
    <t>Documento de PAC elaborado</t>
  </si>
  <si>
    <t>Programación del PAC de los recursos a ser transferidos al FNGRD</t>
  </si>
  <si>
    <t>Plan</t>
  </si>
  <si>
    <t>Plan de adquisiciones elaborado y publicado</t>
  </si>
  <si>
    <t>Planeación estratégica.</t>
  </si>
  <si>
    <t>Karen Villarreal</t>
  </si>
  <si>
    <t>Documento magnético cargado en la página web de la entidad</t>
  </si>
  <si>
    <t>Elaboración del Plan Estratégico de la Entidad para la vigencia 2015 -2018</t>
  </si>
  <si>
    <t>FORMATO PLAN ESTRATÉGICO (FR-1300-PE-02) y Documento de Justificación cargados en la página web de la entidad</t>
  </si>
  <si>
    <t>Efectuar el último seguimiento al Plan de Acción de la Entidad de la vigencia 2015 y hacer documento de cierre</t>
  </si>
  <si>
    <t>FORMATO PLAN DE ACCIÓN (FR-1300-PE-01) cargado en la página web de la entidad</t>
  </si>
  <si>
    <t>Elaboración y consolidación del Plan de Acción de la entidad para la vigencia 2015</t>
  </si>
  <si>
    <t>Seguimiento al Plan de Acción de la Entidad para la vigencia 2015</t>
  </si>
  <si>
    <t>Número de seguimientos realizados/número de seguimientos propuestos</t>
  </si>
  <si>
    <t>FORMATO PLAN DE ACCIÓN (FR-1300-PE-01) cargado en la página web de la entidad, en el cual se debe reportar seguimiento bimensual</t>
  </si>
  <si>
    <t>Formulación y seguimiento de los proyectos de inversión.</t>
  </si>
  <si>
    <t>Asesorar y apoyar a las dependencias de la UNGRD en la formulación, registro y actualización de proyectos de inversión</t>
  </si>
  <si>
    <t>Proyectos de inversión</t>
  </si>
  <si>
    <t>No. De proyectos elaborados</t>
  </si>
  <si>
    <t>Formulación de proyectos de inversión por Presupuesto General de la Nación</t>
  </si>
  <si>
    <t>No. De Proyectos formulados</t>
  </si>
  <si>
    <t>Documentos de proyectos de inversión magnéticos y físicos. Cargue de los mismos en el SUIFP</t>
  </si>
  <si>
    <t>Actualización proyectos de Inversión en el SUIFP</t>
  </si>
  <si>
    <t>Proyectos</t>
  </si>
  <si>
    <t>No. De actualizaciones realizadas</t>
  </si>
  <si>
    <t>Documentos de proyectos de inversión magnéticos y físicos.</t>
  </si>
  <si>
    <t xml:space="preserve">Seguimiento a los proyectos de inversión de la UNGRD realizado con base en la información registrada en el SPI </t>
  </si>
  <si>
    <t>12 por cada proyecto de inversión</t>
  </si>
  <si>
    <t>Formatos de seguimiento a los proyectos de inversión (FR-1300-PE-04 FORMATO DE SEGUIMIENTO A PROYECTOS DE INVERSIÓN) y aplicativo SPI</t>
  </si>
  <si>
    <t>Cerrar la formulación de Acciones Correctivas y Preventias del SIPLAG - (Auditoria Interna y Externa)</t>
  </si>
  <si>
    <t>Yanizza Lozano</t>
  </si>
  <si>
    <t>Planes de Mejoramiento cerrados con evaluación de eficacia</t>
  </si>
  <si>
    <t>Realizar el proceso contratactual para certificación del Sistema Integrado de Planeación y Gestión - SIPLAG</t>
  </si>
  <si>
    <t>Número de contratos suscritos</t>
  </si>
  <si>
    <t xml:space="preserve"> Contrato de consultoria suscrito para certificación del Sistema Integrado de Planeación y Gestión - SIPLAG </t>
  </si>
  <si>
    <t>Llevar a cabo la auditoria de otorgamiento (certificación del SIPLAG)</t>
  </si>
  <si>
    <t>No. De actividades de la Auditoria de Otorgamiento ejecutadas/ No. De actividades de la Auditoria de otorgamiento programadas</t>
  </si>
  <si>
    <t>Cronograma de la Auditoria de Otorgamiento
e Informe de Auditoria entregado por el ente certificador</t>
  </si>
  <si>
    <t>Cerrar Acciones de Planes de Mejoramiento del SIPLAG - (Auditoria de otorgamiento)</t>
  </si>
  <si>
    <t>Planes de Mejoramiento con evaluación de eficacia</t>
  </si>
  <si>
    <t>Llevar a cabo reuniones mensuales del Equipo SIPLAG</t>
  </si>
  <si>
    <t>No.  Reuniones realizadas con el Equipo SIPLAG</t>
  </si>
  <si>
    <t>Actas de Reunión, listados de asistencia</t>
  </si>
  <si>
    <t>Realizar jornadas de socialización y refuerzo del SIPLAG a todos los funcionarios de la entidad</t>
  </si>
  <si>
    <t>Jornadas de socialización y refuerzo</t>
  </si>
  <si>
    <t>Número de jornadas realizadas</t>
  </si>
  <si>
    <t>Presentaciones utilizadas, listados de asistencia, evaluación de las jornadas</t>
  </si>
  <si>
    <t>Carmen Chávez
Patricia Arenas</t>
  </si>
  <si>
    <t>Realizar reuniones al interior de cada una de las dependencias para la Coordinación y Gestión de actividades del  SIPLAG</t>
  </si>
  <si>
    <t>Inventarios</t>
  </si>
  <si>
    <t>Número de inventarios realizados</t>
  </si>
  <si>
    <t>Documento en el que se decribirá el Inventario de necesidades de TI - UNGRD</t>
  </si>
  <si>
    <t>Realizar un proceso de priorización de Proyectos de Tecnologías de la información</t>
  </si>
  <si>
    <t>Matrices</t>
  </si>
  <si>
    <t>Número de matrices de priorización de proyectos</t>
  </si>
  <si>
    <t>Matriz de priorizacion proyectos</t>
  </si>
  <si>
    <t>Actualización del Plan Estrategico de Tecnologías de Información - PETI de la UNGRD</t>
  </si>
  <si>
    <t>No. documentos de actualización de PETI</t>
  </si>
  <si>
    <t>Plan estrategico de TI actualizado</t>
  </si>
  <si>
    <t>Formular la Estrategia y el Plan de Acción de Rendición de Cuentas para la vigencia 2015</t>
  </si>
  <si>
    <t>Patricia Arenas
Karen Villarreal</t>
  </si>
  <si>
    <t>Documentos Estrategia y Plan de Rendición de Cuentas</t>
  </si>
  <si>
    <t>Hacer seguimiento a la ejecución del Plan de Acción de Rendición de Cuentas 2015</t>
  </si>
  <si>
    <t xml:space="preserve">Plan de Acción de RC con seguimientos trimestrales </t>
  </si>
  <si>
    <t>Liderar la elaboración del informe final de la ejecución de la estrategia y el plan de Plan de Acción de Rendición de Cuentas de la vigencia 2015</t>
  </si>
  <si>
    <t>No. De Documentos elaborados</t>
  </si>
  <si>
    <t>Documentos de respuesta elaborados (Oficios, Informes)</t>
  </si>
  <si>
    <t>Liderar la Formulación del Plan Anticorrupción y de Atención al Ciudadano 2015</t>
  </si>
  <si>
    <t>Documento de informe final de la ejecución del Plan Anticorrupción y de Atención al Ciudadano, así como las evidencias vinculadas a actividades ejecutadas</t>
  </si>
  <si>
    <t>Seguimiento y fortalecimiento a la implementación de la estrategia de gobierno en línea.</t>
  </si>
  <si>
    <t>Hacer seguimiento a la implementacion del nuevo Decreto de Gobierno en Línea (Decreto 2573 del 12 de diciembre de 2015)</t>
  </si>
  <si>
    <t>No. De Seguimientos realizados</t>
  </si>
  <si>
    <t>Paula Contreras
Wilson Salamanca</t>
  </si>
  <si>
    <t>Realizar integración del módulo de PQRD al sistema oficial de correspondencia de la UNGRD</t>
  </si>
  <si>
    <t>Modulos</t>
  </si>
  <si>
    <t>No de modulos integrados al Sistema oficial de Correspondencia</t>
  </si>
  <si>
    <t>Aplicativo Web integrado/funcional al sistema oficial de correspondencia (Es referente al Plan de Desarrollo Administrativo Sectorial de la vigencia 2015)</t>
  </si>
  <si>
    <t>Socialización del uso de la herramienta del Registro Único de Damnificados - RUD</t>
  </si>
  <si>
    <t xml:space="preserve">No. De Talleres realizados </t>
  </si>
  <si>
    <t>Listados de asistencia a los talleres</t>
  </si>
  <si>
    <t>Soporte técnico a la Rendición de cuetnas de la UNGRD</t>
  </si>
  <si>
    <t>Soporte tecnológico a aplicaciones para rendición de cuentas (chats, foros, video, streamming, etc)</t>
  </si>
  <si>
    <t>Soporte  tecnológico a Rendicion de cuentas realizados</t>
  </si>
  <si>
    <t>Soporte  tecnológico a aplicaciones utilizadas para Rendicion de cuentas del aUNGRD</t>
  </si>
  <si>
    <t>DEPENDENCIA</t>
  </si>
  <si>
    <t>EJE 1</t>
  </si>
  <si>
    <t xml:space="preserve">E. FORTALECIMIENTO Y POSICIONAMIENTO INSTITUCIONAL </t>
  </si>
  <si>
    <t>LINEA DE ACCIÓN</t>
  </si>
  <si>
    <t>Gestión del Talento Humano</t>
  </si>
  <si>
    <t>Provisión del Talento Humano</t>
  </si>
  <si>
    <t>Actualizar el manual de funciones y competencias laborales de la Unidad</t>
  </si>
  <si>
    <t>Resolución</t>
  </si>
  <si>
    <t>No de actualizaciones al manual de funciones y competencias laborales realizados</t>
  </si>
  <si>
    <t>Ángela Gómez</t>
  </si>
  <si>
    <t xml:space="preserve">Reunión Comisión de Personal </t>
  </si>
  <si>
    <t xml:space="preserve">Comisión de Personal </t>
  </si>
  <si>
    <t>No de comisiones efectuadas</t>
  </si>
  <si>
    <t>Reporte Comisión de Personal</t>
  </si>
  <si>
    <t>Reporte</t>
  </si>
  <si>
    <t>Reporte Comisión</t>
  </si>
  <si>
    <t xml:space="preserve">Elaborar el Plan Anual de Vacantes </t>
  </si>
  <si>
    <t xml:space="preserve">Plan Anual de Vacantes </t>
  </si>
  <si>
    <t xml:space="preserve">No. de Plan Anual de Vacantes elaborados </t>
  </si>
  <si>
    <t>Plan Anual</t>
  </si>
  <si>
    <t>Administración de Nómina</t>
  </si>
  <si>
    <t>Preparar y elaborar el proyecto anual de presupuesto para amparar los gastos por servicios personales asociados a nómina</t>
  </si>
  <si>
    <t xml:space="preserve">Proyecto Anual de Presupuesto </t>
  </si>
  <si>
    <t>No. de anteproyectos de presupuesto elaborados</t>
  </si>
  <si>
    <t>Proyecto Anual de Presupuesto</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</si>
  <si>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</si>
  <si>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</si>
  <si>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</si>
  <si>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</si>
  <si>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Realizar el control mensual a las novedades que afecten el presupuesto de la Unidad (compensatorios, horas extras, licencias, incapacidades, permisos y vacaciones)</t>
  </si>
  <si>
    <t>Control de Novedades</t>
  </si>
  <si>
    <t>No.de controles de novedades realizados</t>
  </si>
  <si>
    <t>Control realizado</t>
  </si>
  <si>
    <t>Elaborar Circular de programación vacaciones de funcionarios de la entidad.</t>
  </si>
  <si>
    <t>Circular</t>
  </si>
  <si>
    <t>No de circulares emitidas</t>
  </si>
  <si>
    <t>Realizar el registro de Ausentismo en la base de datos diseñada</t>
  </si>
  <si>
    <t>Registro mensual</t>
  </si>
  <si>
    <t>Archivo de Registro</t>
  </si>
  <si>
    <t>Realizar afiliación de contratistas a la ARL</t>
  </si>
  <si>
    <t>Reporte mensual de afiliaciones</t>
  </si>
  <si>
    <t xml:space="preserve">Numero de afiliaciones realizadas/numero de contratos suscritos </t>
  </si>
  <si>
    <t>Sigep</t>
  </si>
  <si>
    <t>Creación nuevos usuarios de planta</t>
  </si>
  <si>
    <t xml:space="preserve">Reporte mensual </t>
  </si>
  <si>
    <t>No de funcionarios inscritos/ No de funcionarios de la Unidad</t>
  </si>
  <si>
    <t>Modificación de usuarios existentes de planta</t>
  </si>
  <si>
    <t>Desvinculación de usuarios de planta</t>
  </si>
  <si>
    <t>No de funcionarios desvinculados / No de funcionarios retirados</t>
  </si>
  <si>
    <t>Actualización información Hojas de vida</t>
  </si>
  <si>
    <t>Sistema actualizado</t>
  </si>
  <si>
    <t xml:space="preserve">No de actualizaciones   </t>
  </si>
  <si>
    <t>Sistema</t>
  </si>
  <si>
    <t>Gestión Administrativa</t>
  </si>
  <si>
    <t>Actualizar documentación en el archivo de hojas de vida de los empleados de la Unidad</t>
  </si>
  <si>
    <t>No de hojas de vida actualizadas / No de funcionarios</t>
  </si>
  <si>
    <t>Expedir las certificaciones laborales de funcionarios</t>
  </si>
  <si>
    <t>No de certificaciones laborales expedidas</t>
  </si>
  <si>
    <t>Reporte de Cerificaciones</t>
  </si>
  <si>
    <t>Expedir las certificaciones laborales de exfuncionarios de la Unidad</t>
  </si>
  <si>
    <t>Proyectar certificaciones de insuficiencia o inexistencia  de personal en planta, para efectos de la contratación de prestación de servicios cuando se requiera.</t>
  </si>
  <si>
    <t>No de certificaciones de insuficiencia o inexistencia  proyectadas/No de certificaciones  de insuficiencia o inexistencia solicitadas *100</t>
  </si>
  <si>
    <t>Emitir los reportes de control de horario del personal de planta por dependencia</t>
  </si>
  <si>
    <t>Reporte mensual por dependencia</t>
  </si>
  <si>
    <t>No de Reportes realizados</t>
  </si>
  <si>
    <t>Seguimiento</t>
  </si>
  <si>
    <t>No de Reuniones realizadas</t>
  </si>
  <si>
    <t>Realizar monitoreo a la Gestión de los Comités de la UNGRD (CP, CBCI, CCL, COPASST)</t>
  </si>
  <si>
    <t>Monitoreo</t>
  </si>
  <si>
    <t>No de monitoreos realizados</t>
  </si>
  <si>
    <t>Viáticos y Gastos de Viaje</t>
  </si>
  <si>
    <t>Elaborar los actos administrativos de comisiones y liquidación de  viáticosde los funcionarios de la Unidad</t>
  </si>
  <si>
    <t>No de actos administrativos elaborados/ No de actos administrativos solicitados *100</t>
  </si>
  <si>
    <t>Elaborar los actos administrativos de desplazamiento y gastos de viaje de los contratistas de la Unidad</t>
  </si>
  <si>
    <t xml:space="preserve">Realizas los pagos de viáticos y gastos de viaje para funcionarios y contratistas de la UNGRD  autorizados por la Caja Menor </t>
  </si>
  <si>
    <t>No de pagos</t>
  </si>
  <si>
    <t xml:space="preserve">Recibir las legalizaciones de viáticos y gastos de viaje para funcionarios y contratistas de la UNGRD autorizados por la Caja Menor </t>
  </si>
  <si>
    <t>No. de Legalizaciones</t>
  </si>
  <si>
    <t>Realizar los reembolsos para la Caja Menor de viáticos y gastos de viaje conforme a lo establecido en el decreto 2768 de 2012, artículo 14</t>
  </si>
  <si>
    <t>Resolución de reembolso</t>
  </si>
  <si>
    <t>De acuerdo a demanda</t>
  </si>
  <si>
    <t>No de reembolsos a la caja menor / no de pagos de viáticos y gastos realizados con caja menor</t>
  </si>
  <si>
    <t>Realizar el cierre presupuestal la Caja Menor de viáticos y gastos de viaje conforme a lo establecido en el decreto 2768 de 2012.</t>
  </si>
  <si>
    <t>Resolución de cierre de caja</t>
  </si>
  <si>
    <t>Resolución de cierre</t>
  </si>
  <si>
    <t>Realizar los trámites para la emisión de tiquete solicitados por los funcionarios da la UNGRD</t>
  </si>
  <si>
    <t>No de tiquetes emitidos</t>
  </si>
  <si>
    <t>Realizar los trámites para la emisión de tiquete solicitados por los contratistas da la UNGRD</t>
  </si>
  <si>
    <t>Realizar los trámites para la emisión de tiquete solicitados por los contratistas del FNGRD</t>
  </si>
  <si>
    <t xml:space="preserve">Realizar el seguimiento a la ejecución presupuestal de los contratos para tiquetes </t>
  </si>
  <si>
    <t>Seguimiento presupuestal</t>
  </si>
  <si>
    <t>No de seguimientos a los contratos para la adquisición de tiquetes</t>
  </si>
  <si>
    <t>Realizar el informe de ejecución de acuerdo a la emisión de tiquetes</t>
  </si>
  <si>
    <t>Informe mensual</t>
  </si>
  <si>
    <t>Informe de ejecución</t>
  </si>
  <si>
    <t>Sistema de Estímulos:
Bienestar Social Laboral
Incentivos</t>
  </si>
  <si>
    <t>Elaborar el diagnóstico de Bienestar Social Laboral</t>
  </si>
  <si>
    <t>Documento de Diagnóstico</t>
  </si>
  <si>
    <t>Documento de ejecución</t>
  </si>
  <si>
    <t>Diagnóstico</t>
  </si>
  <si>
    <t>Elaborar el Plan de Bienestar Social para los funcionarios de la UNGRD</t>
  </si>
  <si>
    <t>Plan de Bienestar Social</t>
  </si>
  <si>
    <t>% de cumplimiento mensual</t>
  </si>
  <si>
    <t>Plan realizado</t>
  </si>
  <si>
    <t>Implementar el Plan de bienestar Social de la UNGRD desde el componente de Calidad de vida Laboral</t>
  </si>
  <si>
    <t>Reporte mensual</t>
  </si>
  <si>
    <t>Realizar el seguimiento a la ejecución presupuestal</t>
  </si>
  <si>
    <t>Elaborar el diagnóstico de Incentivos</t>
  </si>
  <si>
    <t>Informe de diagnostico</t>
  </si>
  <si>
    <t>Diagnóstico elaborado</t>
  </si>
  <si>
    <t>Elaborar el Plan Anual de Incentivos</t>
  </si>
  <si>
    <t>Plan Anual de Incentivos</t>
  </si>
  <si>
    <t>Plan elaborado</t>
  </si>
  <si>
    <t>Implementar el Plan Anual de Incentivos</t>
  </si>
  <si>
    <t>Entrega de incentivos</t>
  </si>
  <si>
    <t>Plan Implementado</t>
  </si>
  <si>
    <t>Reporte seguimiento</t>
  </si>
  <si>
    <t>Elaborar el informe de cumplimiento del Sistema de Estímulos</t>
  </si>
  <si>
    <t>Informe elaborado</t>
  </si>
  <si>
    <t>Capacitación</t>
  </si>
  <si>
    <t>Elaborar el diagnóstico de Capacitación</t>
  </si>
  <si>
    <t>Diagnóstico realizado</t>
  </si>
  <si>
    <t>Elaborar el Plan Institucional de Capacitación</t>
  </si>
  <si>
    <t>Plan Institucional de Capacitación</t>
  </si>
  <si>
    <t>Implementar el Plan Institucional de Capacitación</t>
  </si>
  <si>
    <t>Realizar el seguimiento y evaluación de las actividades de capacitación</t>
  </si>
  <si>
    <t>Elaborar el informe de ejecución  del Plan Institucional de Capacitación</t>
  </si>
  <si>
    <t>Informe Realizado</t>
  </si>
  <si>
    <t>Seguridad y Salud en el Trabajo</t>
  </si>
  <si>
    <t>Elaborar el Plan Anual de trabajo con ARL</t>
  </si>
  <si>
    <t>Plan de Trabajo</t>
  </si>
  <si>
    <t>Elaborar el cronograma de SST</t>
  </si>
  <si>
    <t>Cronograma</t>
  </si>
  <si>
    <t>Cronograma realizado</t>
  </si>
  <si>
    <t>Seguimiento o Capacitación al COPASST</t>
  </si>
  <si>
    <t>Sesión</t>
  </si>
  <si>
    <t>Acompañamiento y capacitación a la Brigada de Emergencia</t>
  </si>
  <si>
    <t>Seguimiento o Capacitación al Comité de Convivencia Laboral</t>
  </si>
  <si>
    <t>% de cumplimiento trimestral</t>
  </si>
  <si>
    <t>Documento terminado</t>
  </si>
  <si>
    <t>Actualización al Plan de Emergencia</t>
  </si>
  <si>
    <t>Plan Actualizado</t>
  </si>
  <si>
    <t>Semana de la Seguridad</t>
  </si>
  <si>
    <t>Actividad</t>
  </si>
  <si>
    <t>% de cumplimiento según cronograma</t>
  </si>
  <si>
    <t>Registro de la actividad</t>
  </si>
  <si>
    <t>TOTAL LINEA DE ACCIÓN</t>
  </si>
  <si>
    <t>A. GOBERNABILIDAD Y DESARROLLO DEL SNGRD</t>
  </si>
  <si>
    <t>No reuniones realizadas</t>
  </si>
  <si>
    <t>Realizar Seguimiento al Mapa de Riesgos anticorrupción</t>
  </si>
  <si>
    <t>Reportes realizados</t>
  </si>
  <si>
    <t>Informe de Seguimiento</t>
  </si>
  <si>
    <t>Seguimiento al Mapa de Riesgos Operacionales</t>
  </si>
  <si>
    <t>Realizar seguimiento al mapa de riesgos operacionales</t>
  </si>
  <si>
    <t xml:space="preserve">GRAN TOTAL EJES DE ACCION </t>
  </si>
  <si>
    <t>Reglamentación del Fondo Nacional de Gestión del Riesgo de Desastres - FNGRD /  Reglamentación de la Ley 1523 de 2012</t>
  </si>
  <si>
    <t>-</t>
  </si>
  <si>
    <t>Líderar el proceso de reglamentación del FNGRD con el acompañamiento del Banco Mundial</t>
  </si>
  <si>
    <t xml:space="preserve">Decreto de reglamentación </t>
  </si>
  <si>
    <t>Decreto</t>
  </si>
  <si>
    <t>Documento de decreto formulado</t>
  </si>
  <si>
    <t>SECRETARÍA GENERAL GENERAL  - GRUPO DE TALENTO HUMANO</t>
  </si>
  <si>
    <t>No. De reportes</t>
  </si>
  <si>
    <t>SUBDIRECCIÓN GENERAL</t>
  </si>
  <si>
    <t>Fomento de la responsabilidad sectorial y territorial en los procesos de la gestión del riesgo</t>
  </si>
  <si>
    <t>Formulación de metodologías para incorporar el análisis de riesgo de desastres en los proyectos sectoriales y territoriales de inversión pública.</t>
  </si>
  <si>
    <t>Generar guía metodológica para la integración de la gestión del riesgo de desastres y el ordenamiento territorial municipal.</t>
  </si>
  <si>
    <t>Guía</t>
  </si>
  <si>
    <t>No. de guias elaboradas</t>
  </si>
  <si>
    <t>Guia elaboradada</t>
  </si>
  <si>
    <t>UNGRD- Priyecto de Inversión  Asistencia técnica en Gestión Local del Riesgo a nivel Municipal y departamental en Colombia</t>
  </si>
  <si>
    <t>x</t>
  </si>
  <si>
    <t>Proyecto de inversión de asistencia técnica</t>
  </si>
  <si>
    <t>Meta PNDes de 68</t>
  </si>
  <si>
    <t>Realizar talleres a los municipios en integración de la gestión del riesgo para la revisión y ajustes del POT.</t>
  </si>
  <si>
    <t>Talleres/Mesas de trabajo</t>
  </si>
  <si>
    <t>No. De talleres/mesas de trabajo realizadas</t>
  </si>
  <si>
    <t>Listados de asistencia y memorias realizadas</t>
  </si>
  <si>
    <t>UNGRD- Proyecto de Inversión  Asistencia técnica en Gestión Local del Riesgo a nivel Municipal y departamental en Colombia</t>
  </si>
  <si>
    <t>Elaborar documentos municipales de lineamientos para la integración de la gestión del riesgo en la revisión y ajustes de POT.</t>
  </si>
  <si>
    <t>Lineamientos</t>
  </si>
  <si>
    <t>No. De Municipios con documento de lineamientos para incorporar la gestión del riesgo de desastres en la revisión y ajuste del POT, articulado al plan de Inversiones para los Municipios</t>
  </si>
  <si>
    <t>Documento de lineamientos para incorporar la gestión del riesgo de desastres en la revisión y ajuste del POT, articulado al plan de Inversiones para los Municipios elaborados</t>
  </si>
  <si>
    <t>Incremento del nivel de cofinanciación por parte de los sectores y entes territoriales.</t>
  </si>
  <si>
    <t>Con base en el proceso de Reglamentación del FNGRD, generar directrices en las cuales se obligue a los sectores y entes territoriales aportar recursos (monetarios o  insumos) para la presentación de proyectos de inversión al Fondo Nacional de Gestión del Riesgo de Desastres</t>
  </si>
  <si>
    <t>No, de documentos elaborados</t>
  </si>
  <si>
    <t>Richard Vargas</t>
  </si>
  <si>
    <t>Documentos de directrices desarrollado</t>
  </si>
  <si>
    <t>Meta PND</t>
  </si>
  <si>
    <t>Apoyo a la formulación de proyectos para acceder a recursos de cofinanciación del FNGRD por parte de los sectores y las entidades territoriales.</t>
  </si>
  <si>
    <t>Realizar talleres a los consejos municipales de gestión del riesgo de desastres en formulación de proyectos en sus respectivos territorios.</t>
  </si>
  <si>
    <t>Graciela Ustariz</t>
  </si>
  <si>
    <t>Listados de asistencia, memorias y actas.</t>
  </si>
  <si>
    <t>Meta PND son cinco en la priemra vigencia</t>
  </si>
  <si>
    <t>Realizar un informe final de los resultados obtenidos, compendio de proyectos formulados.</t>
  </si>
  <si>
    <t>No. De proyectos formualdos</t>
  </si>
  <si>
    <t>Documento de informe final de resultados y compendio de proyectos formulados</t>
  </si>
  <si>
    <t>Definición de Agendas sectoriales estratégicas.</t>
  </si>
  <si>
    <t>Agendas Sectoriales</t>
  </si>
  <si>
    <t>No. De agendas sectoriales elaboradas</t>
  </si>
  <si>
    <t>Martha Ochoa</t>
  </si>
  <si>
    <t>Documentos y listados de asistencia.</t>
  </si>
  <si>
    <t>UNGRD -Proyecto de Inversión - Apoyo al Fortalecimiento de Políticas e Instrumentos Financieros del SNPAD en Colombia</t>
  </si>
  <si>
    <t>Programa de acompañamiento a los sectores con el fin de asesorar y orientar el desarrollo de las acciones concertadas en las agendas sectoriales.</t>
  </si>
  <si>
    <t>Diseño de un programa de acompañamiento sectorial para la implementación de las agendas</t>
  </si>
  <si>
    <t>Programa de Acompañamiento</t>
  </si>
  <si>
    <t>No. De programas de acompañamiento diseñados</t>
  </si>
  <si>
    <t>Jorge Castro</t>
  </si>
  <si>
    <t>Programa de acompañamiento diseñado</t>
  </si>
  <si>
    <t>Incorporación de los sectores en los Comités Nacionales para la Gestión del Riesgo.</t>
  </si>
  <si>
    <t>Documento de reglamentación elaborado</t>
  </si>
  <si>
    <t>Formulación, socialización y seguimiento del Plan Nacional de Gestión del Riesgo de Desastres -PNGRD.</t>
  </si>
  <si>
    <t>Martha Ochoa
Jorge Castro</t>
  </si>
  <si>
    <t>Listados de Asistencia, Actas y registro fotográfico</t>
  </si>
  <si>
    <t>Diseñar la metodología para el seguimiento y evaluación del PNGRD</t>
  </si>
  <si>
    <t>metodología</t>
  </si>
  <si>
    <t>No. De metodologías diseñadas</t>
  </si>
  <si>
    <t>Documento de metodología diseñada</t>
  </si>
  <si>
    <t>Planes</t>
  </si>
  <si>
    <t>No. de planes publicados</t>
  </si>
  <si>
    <t>Publicación .PNGRD publicado</t>
  </si>
  <si>
    <t>01/11/015</t>
  </si>
  <si>
    <t>Concertación del Plan Nacional de Gestión del Riesgo de Desastres - PNGRD con los Sectores.</t>
  </si>
  <si>
    <t>Apoyar la reglamentación de la Ley 1523 de 2012</t>
  </si>
  <si>
    <t>Participación de reuniones convocadas por Subdirección General</t>
  </si>
  <si>
    <t>Listado de asistencia</t>
  </si>
  <si>
    <t>Lista de asistencia</t>
  </si>
  <si>
    <t>Documento elaborado</t>
  </si>
  <si>
    <t>Socializaciones</t>
  </si>
  <si>
    <t xml:space="preserve">No. De socializacinoes de retroalimentación efectuadas </t>
  </si>
  <si>
    <t>Listados de asistencia, documento resultado y memorias de la socialización</t>
  </si>
  <si>
    <t>Política</t>
  </si>
  <si>
    <t>No. De políticas desarrolladas</t>
  </si>
  <si>
    <t>Política diseñada</t>
  </si>
  <si>
    <t>Documento de articulado</t>
  </si>
  <si>
    <t>No. De documentos de articulado desarrollados</t>
  </si>
  <si>
    <t>Documento de articulado reglamentación artículo 42 de la Ley 1523 de 2012 diseñado.</t>
  </si>
  <si>
    <t>Validaciones</t>
  </si>
  <si>
    <t>No. De validaciones realizadas</t>
  </si>
  <si>
    <t>Acta, Listado de asistencia y memorias de los tres comités en los que se realizó la respectiva validación</t>
  </si>
  <si>
    <t xml:space="preserve">Formular el Proyecto de Decreto de reglamentación artículo 42 de la Ley 1523 de 2012 </t>
  </si>
  <si>
    <t>Proyecto de decreto</t>
  </si>
  <si>
    <t>No. de decretos de reglamentación elaborados</t>
  </si>
  <si>
    <t>Proyecto de decreto elaborado</t>
  </si>
  <si>
    <t>Actualización del Plan Nacional de Contingencia contra derrames de hidrocarburos, derivados y otras sustancias nocivas en aguas marinas.</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</si>
  <si>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</si>
  <si>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</si>
  <si>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SUBDIRECCIÓN PARA EL CONOCIMIENTO DEL RIESGO</t>
  </si>
  <si>
    <t>Subdirector de Conocimiento del Riesgo</t>
  </si>
  <si>
    <t>Sectores</t>
  </si>
  <si>
    <t>No. Sectores</t>
  </si>
  <si>
    <t>Paola Guerrero</t>
  </si>
  <si>
    <t>Memorias de reunión</t>
  </si>
  <si>
    <t>No. de reuniones realizadas</t>
  </si>
  <si>
    <t>Coordinación  de los Comités Nacionales de Gestión del Riesgo de Desastres.</t>
  </si>
  <si>
    <t>Número de convocatorias</t>
  </si>
  <si>
    <t>Número de convocatorias realizadas</t>
  </si>
  <si>
    <t>Oficios de convocatoria remitidos a los integrantes del Comité de acuerdo a la Ley 1523 de 2012.</t>
  </si>
  <si>
    <t>Convocar a la Comisión Tecnica Nacional Asesora para el Conocimiento del Riesgo</t>
  </si>
  <si>
    <t>Oficios de convocatoria remitidos a Comisión Tecnica Nacional Asesora de conocimiento del riesgo</t>
  </si>
  <si>
    <t>Apoyar el proceso de actualización del Plan Nacional de Contingencia contra derrames de hidrocarburos, derivados y otras sustancias nocivas en aguas marinas</t>
  </si>
  <si>
    <t>Listado de asistencia y/o actas</t>
  </si>
  <si>
    <t>Fomento de la identificación y caracterización de escenarios de riesgo</t>
  </si>
  <si>
    <t>Priorización y caracterización de escenarios de riesgo.</t>
  </si>
  <si>
    <t>No. de documentos</t>
  </si>
  <si>
    <t>Documentos físicos</t>
  </si>
  <si>
    <t>Generación de insumos técnicos para la evaluación y análisis del riesgo</t>
  </si>
  <si>
    <t>Definición de lineamientos de identificación de amenaza, vulnerabilidad y riesgo, como insumo y su articulación con  para la planificación de desarrollo.</t>
  </si>
  <si>
    <t>No. De convenios o contratos suscritos</t>
  </si>
  <si>
    <t>Por demanda (Dependiendo de los recursos asignados)</t>
  </si>
  <si>
    <t>Fortalecimiento del conocimiento del riesgo y su adecuada incorporación en los instrumentos de planificación del desarrollo</t>
  </si>
  <si>
    <t>Marcela Guerrero</t>
  </si>
  <si>
    <t xml:space="preserve">Reuniones </t>
  </si>
  <si>
    <t>Memorias de Reunión</t>
  </si>
  <si>
    <t>Fortalecimiento de metodologias para el monitoreo del riesgo</t>
  </si>
  <si>
    <t>Apoyo a la elaboración y fortalecimiento de metodologias para monitoreo del riesgo por parte de entes territoriales.</t>
  </si>
  <si>
    <t>Alberto Granés</t>
  </si>
  <si>
    <t>Módulos</t>
  </si>
  <si>
    <t>No. de módulos</t>
  </si>
  <si>
    <t xml:space="preserve">Actas de reunión </t>
  </si>
  <si>
    <t>No. De Documentos</t>
  </si>
  <si>
    <t>Todos (coordina Alberto Granés)</t>
  </si>
  <si>
    <t>SUBDIRECCIÓN PARA LA REDUCCIÓN DEL RIESGO DE DESASTRES</t>
  </si>
  <si>
    <t>Realizar mesas de trabajo sectoriales (Agricultura, transporte y vivienda y desarrollo territorial)</t>
  </si>
  <si>
    <t>Alexandra Ramírez</t>
  </si>
  <si>
    <t>Actas, correos, acuerdos, agendas de trabajo</t>
  </si>
  <si>
    <t>Actas, correos, acuerdos, agendas de trabajo, informes, documentos, productos</t>
  </si>
  <si>
    <t xml:space="preserve">Documento  </t>
  </si>
  <si>
    <t xml:space="preserve">% de avance de elaboración de la propuesta </t>
  </si>
  <si>
    <t>Documento de propuesta</t>
  </si>
  <si>
    <t>Plan de trabajo aprobado</t>
  </si>
  <si>
    <t xml:space="preserve">% de avance en la elaboración del plan de trabajo </t>
  </si>
  <si>
    <t># de informes realizados</t>
  </si>
  <si>
    <t>Nelson Hernández</t>
  </si>
  <si>
    <t>Informes de Seguimiento</t>
  </si>
  <si>
    <t>Coordinar la formulación, el desarrollo y el seguimiento de agenda de trabajo de la Comisión Técnica Asesora para la Reducción del Riesgo de Desastres</t>
  </si>
  <si>
    <t># planes de trabajo aprobados</t>
  </si>
  <si>
    <t># de informes de seguimiento</t>
  </si>
  <si>
    <t>Acto Administrativo</t>
  </si>
  <si>
    <t xml:space="preserve">Impulsar el desarrollo de la agenda de trabajo de la CNARIT </t>
  </si>
  <si>
    <t>Fortalecimiento de la implementación de la Política Nacional para la Gestión del Riesgo de Desastres</t>
  </si>
  <si>
    <t>Acta</t>
  </si>
  <si>
    <t># Acta aprobada</t>
  </si>
  <si>
    <t>Discutir y ajustar los proyectos del PNGRD relacionados con la reducción del riesgo</t>
  </si>
  <si>
    <t>Sectores involucrados</t>
  </si>
  <si>
    <t># de sectores involucrados</t>
  </si>
  <si>
    <t>Correos, invitaciones, oficios, actas de reunión, listados de asistencia.</t>
  </si>
  <si>
    <t>Gestionar la información del SNIGRD concerniente a Reducción del Riesgo en sistemas de información</t>
  </si>
  <si>
    <t>Convenios o acuerdos con entidades</t>
  </si>
  <si>
    <t>Andres Sanabria</t>
  </si>
  <si>
    <t xml:space="preserve">Documentos de cooperación y/o acuerdos interinstitucionales </t>
  </si>
  <si>
    <t>Documento de requerimientos</t>
  </si>
  <si>
    <t>% de Avance en la construcción del documento requerimientos</t>
  </si>
  <si>
    <t>Intervención Correctiva</t>
  </si>
  <si>
    <t>Acciones de intervención correctiva de las condiciones de riesgo existente.</t>
  </si>
  <si>
    <t>Elsy Melo</t>
  </si>
  <si>
    <t>Adelantar acciones y gestión de acompañamiento psicosocial, económico - productivo y jurídico, hacia los habitantes de la ZAVA del Galeras de los municipios de Pasto, Nariño y La Florida, que propenden por el reasentamiento de los mismos, en sitios seguros.</t>
  </si>
  <si>
    <t># familias expuestas con acompañamiento psicosocial</t>
  </si>
  <si>
    <t>Realizar seguimiento a los proyectos de intervención correctiva obras civiles(mitigación/recuperación)</t>
  </si>
  <si>
    <t>Astrid Delgado</t>
  </si>
  <si>
    <t>Diseñar la diagramación para la incorporación de proyectos de vivienda en el SIGPAD</t>
  </si>
  <si>
    <t>Diseño</t>
  </si>
  <si>
    <t>% de avance en el diseño</t>
  </si>
  <si>
    <t>Maria del Rocio Entrena</t>
  </si>
  <si>
    <t>Consolidar una base de datos de los proyectos de vivienda actualmente radicados ante la UNGRD</t>
  </si>
  <si>
    <t>Base de datos</t>
  </si>
  <si>
    <t>% de avance en la elaboración de la Base de datos</t>
  </si>
  <si>
    <t>% de avance en la elaboración del documento</t>
  </si>
  <si>
    <t>Realizar seguimiento a los proyectos de intervención de la vulnerabilidad</t>
  </si>
  <si>
    <t>Informes de Segimiento</t>
  </si>
  <si>
    <t xml:space="preserve">Realizar seguimiento a los proyectos derivados del convenio 017 FNR, para gestionar la liquidación y cierres de los mismos. </t>
  </si>
  <si>
    <t xml:space="preserve"># de convenios o contratos liquidados </t>
  </si>
  <si>
    <t>Convenios o contratos liquidados</t>
  </si>
  <si>
    <t>Gestionar los proyectos de reducción del riesgo en el Banco de Proyectos.</t>
  </si>
  <si>
    <t>(# de proyectos gestionados / # de proyectos que requieren ser gestionados)*100</t>
  </si>
  <si>
    <t>Jorge Buelvas</t>
  </si>
  <si>
    <t>(# de asesorias técnicas realizadas / # de asesorias técnicas demandadas) *100</t>
  </si>
  <si>
    <t>Procedimiento de seguimiento a los proyectos y convenios de intervención correctiva.</t>
  </si>
  <si>
    <t>Adelantar el mejoramiento continuo de los procedimientos del Banco de Proyectos. (Evaluación, Priorización y Seguimiento)</t>
  </si>
  <si>
    <t>Procedimiento ajustado</t>
  </si>
  <si>
    <t># Procedimientos ajustados</t>
  </si>
  <si>
    <t>Diseñar la estructuración de la guía de formulación de proyectos de vivienda para ser presentados ante la UNGRD con sus respectivos parámetros. ( en donde involucre la normatividad del ministerio de vivienda, cajas de compensación familiar, CAVIS, Banco Agrario de Colombia (rural), Findeter (urbano) , Planeación Nacional y del SNGRD).</t>
  </si>
  <si>
    <t>% de Avance en la elaboración de la Guía</t>
  </si>
  <si>
    <t>Promoción de tecnologías alternativas no convencionales sostenibles, de bajo costo y/o de bajo impacto ambiental, como medidas de intervención correctiva.</t>
  </si>
  <si>
    <t>Estratégia implementada</t>
  </si>
  <si>
    <t>% de avance en el desarrollo de la estratégia</t>
  </si>
  <si>
    <t>Rosa Niño</t>
  </si>
  <si>
    <t>Intervención Prospectiva</t>
  </si>
  <si>
    <t>Rafael Saenz</t>
  </si>
  <si>
    <t xml:space="preserve">Informe de seguimiento contractual </t>
  </si>
  <si>
    <t>Realizar seguimiento al Convenio OT San Andrés: No 9677-20-1111</t>
  </si>
  <si>
    <t xml:space="preserve"># de informes realizados </t>
  </si>
  <si>
    <t>Claudia Cante</t>
  </si>
  <si>
    <t>Municipios</t>
  </si>
  <si>
    <t># Municipios con Información Recopilada</t>
  </si>
  <si>
    <t xml:space="preserve">Ivan Caicedo </t>
  </si>
  <si>
    <t>Municipios con Información Recopilada</t>
  </si>
  <si>
    <t xml:space="preserve">Asistencia técnica para capacitar a los municipios en la integración  de la GRD para la revisión y ajustes del POT </t>
  </si>
  <si>
    <t># Talleres realizados</t>
  </si>
  <si>
    <t xml:space="preserve">Elaborar documentos municipales de lineamientos para la integración de la gestión del riesgo en la revisión y ajuste de POT </t>
  </si>
  <si>
    <t>% elaboración de la guía</t>
  </si>
  <si>
    <t>Guillermo Avila</t>
  </si>
  <si>
    <t>%  elaboración de  propuesta</t>
  </si>
  <si>
    <t>Documento propuesta de incorporación</t>
  </si>
  <si>
    <t>(# documento revisados técnicamente / # documento recibidos) *100</t>
  </si>
  <si>
    <t>Documentos revisados</t>
  </si>
  <si>
    <t>Documento elaborados</t>
  </si>
  <si>
    <t>(# concepto realizado / # conceptos solicitados) *100</t>
  </si>
  <si>
    <t>Alba Cristina Melo</t>
  </si>
  <si>
    <t>Generar insumos técnicos para  planificar la actuación para la provisión de vivienda ante situaciones de desastres en coordinación con el MVCT</t>
  </si>
  <si>
    <t>Lineamiento técnico</t>
  </si>
  <si>
    <t>% de avance en la elaboración del lineamiento técnico</t>
  </si>
  <si>
    <t>Mauricio Carvajal</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</si>
  <si>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</si>
  <si>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Elaborar el documento propuesta técnica de las bases conceptuales para la aplicación de la Política del Sistema Nacional para la Gestión del Riesgo de Desastres, SNGRD,  en la temática de variabilidad climática y de cambio climático.</t>
  </si>
  <si>
    <t>Andrea Zapata</t>
  </si>
  <si>
    <t>Documento técnico</t>
  </si>
  <si>
    <t>Actas de reunión, informe de seguimiento</t>
  </si>
  <si>
    <t>Apoyo a la operación y mantenimiento del sistema de evaluación y seguimiento de medidas para la adaptación.</t>
  </si>
  <si>
    <t>Realizar el seguimiento contractual y asistencia técnica a las medidas de adaptación al Cambio Climatico implementadas</t>
  </si>
  <si>
    <t># de informes técnicos realizados/ # de informes programados</t>
  </si>
  <si>
    <t>Realizar seguimiento a la elaboración de las piezas comunicativas de cambio climático y gestión del riesgo  (Juego y video 3D)</t>
  </si>
  <si>
    <t>Actas de Seguimientos, listados de asistencia, informes de seguimiento</t>
  </si>
  <si>
    <t>Documento de estrategia</t>
  </si>
  <si>
    <t>Apoyar  técnicamente procesos de cooperación internacional  para el fortalecimiento de la reducción del riesgo de desastres y la adaptación al cambio climático</t>
  </si>
  <si>
    <t>Asesorías Técnicas</t>
  </si>
  <si>
    <t>Actas de reunión,listados de asistencia, insumos generados, correos</t>
  </si>
  <si>
    <t>Identificar las variables sociales estratégicas en los procesos de reasentamiento.</t>
  </si>
  <si>
    <t>Documento de identificación de variables</t>
  </si>
  <si>
    <t>Juanita Jaramillo</t>
  </si>
  <si>
    <t>Asesorías técnicas realizadas</t>
  </si>
  <si>
    <t># de asesorías técnicas realizadas</t>
  </si>
  <si>
    <t xml:space="preserve">Documento   </t>
  </si>
  <si>
    <t>Documento generado</t>
  </si>
  <si>
    <t>Coordinar la mesa de enfoque diferencial al interior de la UNGRD.</t>
  </si>
  <si>
    <t>Reuniones realizadas</t>
  </si>
  <si>
    <t># reuniones realizadas</t>
  </si>
  <si>
    <t>Actas de reunión,listados de asistencia, insumos generados, correos.
Lineamiento para la incorporación del enfoque diferencial y de genero</t>
  </si>
  <si>
    <t>(# eventos preparados / # de eventos programados) *100</t>
  </si>
  <si>
    <t>Memorias de cada evento, listados de asistencia, registro fotográfico, correos enviados y recibidos</t>
  </si>
  <si>
    <t>Coordinar la conmemoración del mes de la  Reducción del Riesgo</t>
  </si>
  <si>
    <t>Propuesta diseñada</t>
  </si>
  <si>
    <t xml:space="preserve">% de avance en la propuesta </t>
  </si>
  <si>
    <t>Propuesta presentada y aprobada</t>
  </si>
  <si>
    <t>Propuesta implementada</t>
  </si>
  <si>
    <t>% de avance en la implementación</t>
  </si>
  <si>
    <t>Memorias de la conmemoración, correspondencia, listados de participantes, piezas comunicativas elaboradas</t>
  </si>
  <si>
    <t>Nelson Hernandez</t>
  </si>
  <si>
    <t>Gestión Financiera y Aseguramiento ante el Riesgo de Desastres</t>
  </si>
  <si>
    <t>Esperanza Barbosa</t>
  </si>
  <si>
    <t>Agendas</t>
  </si>
  <si>
    <t>Miguel Angulo</t>
  </si>
  <si>
    <r>
      <rPr>
        <b/>
        <sz val="10"/>
        <color indexed="8"/>
        <rFont val="Arial"/>
        <family val="2"/>
      </rPr>
      <t xml:space="preserve">(1) </t>
    </r>
    <r>
      <rPr>
        <sz val="10"/>
        <color indexed="8"/>
        <rFont val="Arial"/>
        <family val="2"/>
      </rPr>
      <t>Se compone de las siguientes metas del Plan Nacional de Desarrollo: 
- Continuar con el proceso de asistencia y acompañamiento a los municipios para la incorporación del riesgo en los POT en coordinación de la UNGRD, MVCT y el MADS.
- Incorporación del análisis de riesgo en POT y generación de instrumentos metodológicos.
-Desarrollo de un documento de lineamientos para incorporar la gestión del riesgo de desastres como insumo dentro del proceso de revisión y ajuste del POT.</t>
    </r>
  </si>
  <si>
    <t>SUBDIRECCIÓN PARA EL MANEJO DE DESASTRES</t>
  </si>
  <si>
    <t>Establecer la agenda a desarrollar por la Comisión Asesora Nacional en Agua y Saneamiento Basico.</t>
  </si>
  <si>
    <t>Número de agendas establecidas</t>
  </si>
  <si>
    <t>Agenda elaborada</t>
  </si>
  <si>
    <t>Establecer la agenda a desarrollar por la Comisión Asesora Nacional en Salud</t>
  </si>
  <si>
    <t>Crear y adoptar la Comisión Técnica Nacional Asesora en Medios de Vida</t>
  </si>
  <si>
    <t>Número de actos administrativos adoptados</t>
  </si>
  <si>
    <t>Marisol Murcia</t>
  </si>
  <si>
    <t>Acto Administrativo adoptado</t>
  </si>
  <si>
    <t>Desarrollo de la Agenda de Comisión Tecnica Nacional Asesora en Agua y Saneamiento Básico</t>
  </si>
  <si>
    <t>Agenda desarrollada</t>
  </si>
  <si>
    <t>Número de agendas desarrolladas</t>
  </si>
  <si>
    <t>Informe de seguimiento a los compromisos establecidos en la agenda establecida en la Comisión Tecnica Nacional Asesora en Agua y Saneamiento Básico</t>
  </si>
  <si>
    <t>Desarrollo de la Agenda de la Comisión Tecnica Nacional Asesora en Salud</t>
  </si>
  <si>
    <t>Informe de seguimiento a los compromisos establecidos en la agenda establecida en la Comisión Tecnica Nacional Asesora en Salud</t>
  </si>
  <si>
    <t>Definir los sectores estratégicos para el Proceso de Manejo de Desastres</t>
  </si>
  <si>
    <t>Número de documentos desarrollados</t>
  </si>
  <si>
    <t>Carmen Elena Pabón</t>
  </si>
  <si>
    <t>Documento de justificación donde se definen los sectores a incorporar en el Comité Nacional de Manejo de Desastres</t>
  </si>
  <si>
    <t>Aprobación de los sectores estratégicos a incoporar por parte del Comité Nacional de Manejo de Desastres</t>
  </si>
  <si>
    <t>Número de actas de aprobación</t>
  </si>
  <si>
    <t>Acta de aprobación por parte de los integrantes del Comité Nacional de Manejo de Desastres</t>
  </si>
  <si>
    <t>Álvaro Garita</t>
  </si>
  <si>
    <t>Adriana Cuevas</t>
  </si>
  <si>
    <t>Formulación y articulación de la Estrategia Nacional de Respuesta.</t>
  </si>
  <si>
    <t>Acto Administrativo de Adopción</t>
  </si>
  <si>
    <t>Socializar la Formulación de la Estrategia Nacional de Respuesta a Emergencias -ENRE</t>
  </si>
  <si>
    <t>Actividades de Socialización</t>
  </si>
  <si>
    <t>Número de Actividades de Socialización realizadas</t>
  </si>
  <si>
    <t>Listados de asistencias a las actividades de socialización y memorias de la misma.</t>
  </si>
  <si>
    <t>Elaboración y socialización de Protocolos de respuesta nacionales ante Erupción Volcán Galeras, Volcán Cerro Machín y Sismo.</t>
  </si>
  <si>
    <t>Protocolos</t>
  </si>
  <si>
    <t>Número de protocolos elaborados</t>
  </si>
  <si>
    <t>Alejandra Mendoza</t>
  </si>
  <si>
    <t>Documetos de protocolos formulados</t>
  </si>
  <si>
    <t>Número de protocolos socializados</t>
  </si>
  <si>
    <t>Documetos de protocolos socializados</t>
  </si>
  <si>
    <t>Formulación y articulación de la Estrategia Nacional ante fenómenos recurrentes.</t>
  </si>
  <si>
    <t>Número de Documentos de ldiagnóstico elaborado</t>
  </si>
  <si>
    <t>Documento de lineamientos formulado</t>
  </si>
  <si>
    <t xml:space="preserve">Elaborar los lineamientos de la estrategia Nacional ante
fenómenos recurrentes </t>
  </si>
  <si>
    <t>Lineamiento</t>
  </si>
  <si>
    <t>Número de lineamientos elaborados</t>
  </si>
  <si>
    <t>Formulación y articulación de la Estrategia de Reconstrucción Pos Desastre.</t>
  </si>
  <si>
    <t>Número de Documentos de lineamientos formulados</t>
  </si>
  <si>
    <t>Fortalecimiento de la capacidad para el Manejo de Desastres del Sistema Nacional de Gestión del Riesgo de Desastres - SNGRD.</t>
  </si>
  <si>
    <t xml:space="preserve"> Diseñar la Estructura funcional del Centro Nacional de Logística</t>
  </si>
  <si>
    <t>Documento propuesta de estructura funcional de la Estructura del Centro Nacional de Logística</t>
  </si>
  <si>
    <t xml:space="preserve">Realizar convenios y/o contratos para el fortalecimiento del Centro Nacional de Logística </t>
  </si>
  <si>
    <t>Número de contratos y convenios elaborados</t>
  </si>
  <si>
    <t>Procesos contractuales o convenios adelantados</t>
  </si>
  <si>
    <t xml:space="preserve">Fortalecimiento de la linea de telecomunicaciones para el manejo de desastres </t>
  </si>
  <si>
    <t>fortalecimiento a entes territoriales con equipo de radiocomunicaciones</t>
  </si>
  <si>
    <t>Número de cotratos firmados</t>
  </si>
  <si>
    <t>Alex Rodríguez</t>
  </si>
  <si>
    <t>Fortalecimiento con equipos basicos de Sala de Crisis para entes terriotriales</t>
  </si>
  <si>
    <t>Número de salas de Crisis fortalecidas</t>
  </si>
  <si>
    <t>Álvaro Garita
Alex Rodríguez</t>
  </si>
  <si>
    <t>Actas de entrega de las Salas de Crisis Fortalecidas</t>
  </si>
  <si>
    <t>Fortalecimiento de la linea de laboratorio tecnico para soporte en  telecomunicaciones y  SAT</t>
  </si>
  <si>
    <t>implementación del laboratorio tecnico</t>
  </si>
  <si>
    <t>Número de de laboratorios tecnicos implementados</t>
  </si>
  <si>
    <t>Actualización guia de funcionamiento sala de crisis nacional</t>
  </si>
  <si>
    <t>Número de documentos actualizados</t>
  </si>
  <si>
    <t>Documento guia funcionamiento sala de crisis actualizado</t>
  </si>
  <si>
    <t>Fortalecimiento Sala de Crisis Nacional</t>
  </si>
  <si>
    <t>contrato firmado</t>
  </si>
  <si>
    <t>Números de Contratos firmados</t>
  </si>
  <si>
    <t xml:space="preserve">Mantenimiento Sala de Crisis Nacional </t>
  </si>
  <si>
    <t>contrato fiirmado</t>
  </si>
  <si>
    <t xml:space="preserve">Sistema autimatico de cadena de llamado Sala de Crisis Nacional </t>
  </si>
  <si>
    <t>Sistema Instalado</t>
  </si>
  <si>
    <t>Número de Sistema Instalados</t>
  </si>
  <si>
    <t>diseño de sistema funcional de Sala de Crisis Nacional</t>
  </si>
  <si>
    <t>Elaboración e impresión de Guía Nacional de telecomunicaciones</t>
  </si>
  <si>
    <t>Número de guías elaboradas</t>
  </si>
  <si>
    <t>Guía elaborada e impresa</t>
  </si>
  <si>
    <t>Fortalecimiento de los Sistemas de Alerta Temprana.</t>
  </si>
  <si>
    <t>Apoyar la implementación del Sistema Alerta Temprana</t>
  </si>
  <si>
    <t>Número de actas</t>
  </si>
  <si>
    <t>Número de actas de entrega de SAT</t>
  </si>
  <si>
    <t xml:space="preserve">
Alex Rodríguez</t>
  </si>
  <si>
    <t>Elaboración e impresión de Guía sobre planes de evacuación</t>
  </si>
  <si>
    <t>Guías</t>
  </si>
  <si>
    <t>Número de guías impresas</t>
  </si>
  <si>
    <t>Guías elaboradas e impresas</t>
  </si>
  <si>
    <t>Número de simulacros realizados</t>
  </si>
  <si>
    <t>Informe de resultados de Simulacro</t>
  </si>
  <si>
    <t>Realizar el Simulacro Nacional de Busqueda y Rescate SIBRU 2015</t>
  </si>
  <si>
    <t>Simulacros</t>
  </si>
  <si>
    <t>Asistencia técnica para el fortalecimiento de las capacidades locales para la recuperación.</t>
  </si>
  <si>
    <t>Asistir a los entes territoriales en el manejo de desastres.</t>
  </si>
  <si>
    <t>Asistencias técnicas</t>
  </si>
  <si>
    <t>Número de Asistencias realizadas</t>
  </si>
  <si>
    <t>informes mensuales, indicador SIPLAG del proceso de gestión para el manejo de Desastres</t>
  </si>
  <si>
    <t>Capacitación y entrenamiento de las entidades del SNGRD en el manejo de desastres.</t>
  </si>
  <si>
    <t>Número de capacitaciones realizadas</t>
  </si>
  <si>
    <t>Fortalecimiento de la Preparación para la Recuperación.</t>
  </si>
  <si>
    <t>Número de contratos realizados para la adquisición de material de contrucción</t>
  </si>
  <si>
    <t>Contrato firmado y ejecutado</t>
  </si>
  <si>
    <t>Ejecución de la respuesta</t>
  </si>
  <si>
    <t>Atención de la población afectada.</t>
  </si>
  <si>
    <t>Convocar y activar la sala de crisis Nacional</t>
  </si>
  <si>
    <t>Activaciones</t>
  </si>
  <si>
    <t>Número de activaciones realizadas</t>
  </si>
  <si>
    <t>Convocatorias realizadas a través de correos electrónicos u oficios</t>
  </si>
  <si>
    <t>Monitorear y realizar los registros de la afectación y la atención de emergencias</t>
  </si>
  <si>
    <t>Registros</t>
  </si>
  <si>
    <t>Número de registros realizados</t>
  </si>
  <si>
    <t>Jorge Neira</t>
  </si>
  <si>
    <t>Visor de emergencias</t>
  </si>
  <si>
    <t>Realizar reporte porcentual de familias atendidas</t>
  </si>
  <si>
    <t>Número de familias atendidas/Número de familias reportadas por el Consejo Municipal</t>
  </si>
  <si>
    <t>Jorge Neira
Carmen Elena Pabón</t>
  </si>
  <si>
    <t>Indicadores SIPLAG</t>
  </si>
  <si>
    <t>80% - 98%</t>
  </si>
  <si>
    <t xml:space="preserve">Realizar reporte de familias beneficiadas </t>
  </si>
  <si>
    <t>Número de informes realizados</t>
  </si>
  <si>
    <t>Visor de emergencias o informe mensual de seguimiento al visor de emergencias</t>
  </si>
  <si>
    <t>Prestar los Servicios básicos de atención Psicosocial en Asistencia Humanitaria de Emergencias -AHE</t>
  </si>
  <si>
    <t>Número de atenciones</t>
  </si>
  <si>
    <t>Número de atenciones realizadas</t>
  </si>
  <si>
    <t>Julliete Brack</t>
  </si>
  <si>
    <t>Informe de reporte de atenciones realizadas a los municipios</t>
  </si>
  <si>
    <t>Recursos</t>
  </si>
  <si>
    <t>Restitución de los servicios esenciales afectados.</t>
  </si>
  <si>
    <t>Prestar los Servicios básicos de Subsidios de Arriendo en Asistencia Humanitaria de Emergencias -AHE</t>
  </si>
  <si>
    <t>Monto de recursos invertidos para entrega subsidios de arriendo</t>
  </si>
  <si>
    <t>Visor de emergencias UNGRD</t>
  </si>
  <si>
    <t>Otto Nietzen</t>
  </si>
  <si>
    <t>Prestar los Servicios básicos Agua y Saneamiento Básico en Asistencia Humanitaria de Emergencias -AHE</t>
  </si>
  <si>
    <t>Número de  municipios atendidos</t>
  </si>
  <si>
    <t>Informe de servicios prestados a los municipios afectados</t>
  </si>
  <si>
    <t>Ejecución de la recuperación mediante la rehabilitación y reconstrucción</t>
  </si>
  <si>
    <t>Acciones recuperación temprana</t>
  </si>
  <si>
    <t xml:space="preserve">Registro Único de Damnificados-RUD </t>
  </si>
  <si>
    <t>Paula Contreras</t>
  </si>
  <si>
    <t>Registro Únido de Damnificados</t>
  </si>
  <si>
    <t>Construcción de pozos almacenamiento de agua</t>
  </si>
  <si>
    <t>Pozos</t>
  </si>
  <si>
    <t>Número de pozos construidos</t>
  </si>
  <si>
    <t>Informe de Actividades línea de agua y saneamiento básico</t>
  </si>
  <si>
    <t>Puentes</t>
  </si>
  <si>
    <t>Número de puentes construidos</t>
  </si>
  <si>
    <t>Reporte mensual de puentes construidos</t>
  </si>
  <si>
    <t>Rafael Bolaños</t>
  </si>
  <si>
    <t>Acciones recuperación para el desarrollo</t>
  </si>
  <si>
    <t>Herramientas de seguimiento a los proyectos y convenios de recuperación post-desastre.</t>
  </si>
  <si>
    <t xml:space="preserve">Base de datos convenios y/o contratos suscritos para la recuperación </t>
  </si>
  <si>
    <t>Número de bases de datos de desarrolladas</t>
  </si>
  <si>
    <t>Base de datos actualizada</t>
  </si>
  <si>
    <t>PRESUPUESTO 2015</t>
  </si>
  <si>
    <t>PRESUPUESTO PROYECTOS E INVERSIÓN</t>
  </si>
  <si>
    <t>ACTIVIDADES CON PRESUPUESTO ANTERIOR</t>
  </si>
  <si>
    <t>SUBDIRECCIÓN DE REDUCCION DEL RIESGO</t>
  </si>
  <si>
    <t>SUBDIRECCIÓN DE CONOCIMIENTO DEL RIESGO</t>
  </si>
  <si>
    <t>SUBDIRECCIÓN DE MANEJO DE DESASTRES</t>
  </si>
  <si>
    <t>OFICINA ASESORA DE COMUNICACIONESCOMUNICACIONES</t>
  </si>
  <si>
    <t>OFICINA ASESORA DE PLANEACION E INFORMACIÓN</t>
  </si>
  <si>
    <t>OFICINA ASESORA JURIDICA</t>
  </si>
  <si>
    <t>GRUPO DE TALENTO HUMANO</t>
  </si>
  <si>
    <t>Inversión</t>
  </si>
  <si>
    <t>Oficios, Correos</t>
  </si>
  <si>
    <t xml:space="preserve">Elaborar un Documento que presente los elementos  conceptuales, alcance y decisiones sobre todas las variables asociadas con el proceso de conocimiento del riesgo en el Artículo 42 de la Ley 1523 y la relación entre las mismas. </t>
  </si>
  <si>
    <t>Luis Martínez
Adriana Cuevas
Graciela Ustariz</t>
  </si>
  <si>
    <t>De acuerdo al documento elaborado de elementos conceptuales, realizar una retroalimentación del mismo con los comités y Comisiones de cada uno de los procesos de Gestión del Riesgo de Desastres</t>
  </si>
  <si>
    <t>Consolidación del documento de insumos técnicos para la reglamentación del artículo 42 de la Ley 1523 luego de efectuar la respectiva retroalimentación</t>
  </si>
  <si>
    <t>Apoyar la elaboración del articulado de reglamentación del artículo 42 de la Ley 1523 de 2012.</t>
  </si>
  <si>
    <t>Realizar la Validación del articulado de la reglamentación del artículo 42 de la Ley 1523 de 2012 ante los Comités Nacionales</t>
  </si>
  <si>
    <t>Apoyo al Ministerio de Minas y Energía para el desarrollo técnico y concertación del proceso de transformación del PNC, en el marco del SNGRD. El apoyo técnico de la UNGRD se hará desde cada proceso: conocimiento, reducción y manejo, la OAJ.</t>
  </si>
  <si>
    <t>Adriana Cuevas/Alejandra Mendoza
Richard Vargas
Luis Martínez
Graciela Ustariz</t>
  </si>
  <si>
    <t>La conformación de una mesa de trabajo, dará lugar a la elaboración de un documento de propuesta de metodología</t>
  </si>
  <si>
    <t>Realizar seguimiento del cumplimiento del cronograma de trabajo para el proceso de transformación del PNC, con el Ministerio de Minas y Energía.</t>
  </si>
  <si>
    <t>No. De cronogramas elaborados</t>
  </si>
  <si>
    <t>Richard Vargas
Luis Martínez
Adriana Cuevas
Graciela Ustariz</t>
  </si>
  <si>
    <t>1 Matriz de seguimiento al cronograma de trabajo del Ministerio de Minas y energía</t>
  </si>
  <si>
    <t>No. De seguimientos a cronograma</t>
  </si>
  <si>
    <t>Realización de seguimientos semestrales, en este aspecto para la vigencia 2015 será un seguimiento</t>
  </si>
  <si>
    <t>Gestionar el proceso de adquisición de predios ubicados en la ZAVA de los municipios de Pasto, Nariño y La Florida</t>
  </si>
  <si>
    <t>Porcentaje de ejecución de recursos</t>
  </si>
  <si>
    <t>( Total recursos ejecutados/ Total recursos programados) *100</t>
  </si>
  <si>
    <t>SIG Galeras</t>
  </si>
  <si>
    <t>FNGRD. La adquisición de los predios, estará sujeta a la disponibilidad de los recursos económicos</t>
  </si>
  <si>
    <t xml:space="preserve">Adelantar el proceso de contratación  y la ejecución del contrato para la demolición de los predios adquiridos por el FNGRD  </t>
  </si>
  <si>
    <t>(% de ejecución real / % de ejecución programado)</t>
  </si>
  <si>
    <t>Matriz de segumientos, informes</t>
  </si>
  <si>
    <t>Base de Datos</t>
  </si>
  <si>
    <t>Oficios, Base de datos, informes</t>
  </si>
  <si>
    <t xml:space="preserve">Proyectos gestionados </t>
  </si>
  <si>
    <t>Base de datos actualizada, SIGPAD</t>
  </si>
  <si>
    <t xml:space="preserve">Asesorar técnicamente a las entidades territoriales, nacionales y otras áreas de la UNGRD en temas  relacionados con intervención correctiva del riesgo </t>
  </si>
  <si>
    <t>Mauricio Carvajal/Alexandra Ramirez</t>
  </si>
  <si>
    <t>Documentos, actas de reunion, versiones preliminares, listados de asistencia</t>
  </si>
  <si>
    <t>Reuniones, correos, oficios, informes, actas</t>
  </si>
  <si>
    <t>Documentos, informes</t>
  </si>
  <si>
    <t xml:space="preserve">Documentos elaborados o revisados  </t>
  </si>
  <si>
    <t>Rafael Sáenz</t>
  </si>
  <si>
    <t>Documentos generados, actas de reunión,listados de asistencia, correos.</t>
  </si>
  <si>
    <t>Documentos de conceptos elaborados, actas de reunión, listados de asistencia, correos.</t>
  </si>
  <si>
    <t xml:space="preserve">Documento Guia generado </t>
  </si>
  <si>
    <t>Presentar a nivel nacional la Guía para la integración de la Gestión del Riesgo en los Planes de Ordenamiento Territoriales Municipales.</t>
  </si>
  <si>
    <t>% de avance en la formulación del Evento</t>
  </si>
  <si>
    <t>Registro Fotografico, listados de asistencia</t>
  </si>
  <si>
    <t>Documento generado, actas de reunión,listados de asistencia, correos.</t>
  </si>
  <si>
    <t>Documentos consolidados,informes actas de reunión,listados de asistencia, correos.</t>
  </si>
  <si>
    <t>Documentos consolidados, informes, actas de reunión,listados de asistencia, correos.</t>
  </si>
  <si>
    <t>Territorios Asistidos</t>
  </si>
  <si>
    <t>Actas de reunión,listados de asistencia, correos.</t>
  </si>
  <si>
    <t>Documentos consolidados, actas de reunión,listados de asistencia, correos.</t>
  </si>
  <si>
    <t xml:space="preserve">Documentos de lineamientos </t>
  </si>
  <si>
    <t>Documentos, circulares, oficios, Lineamiento técnico</t>
  </si>
  <si>
    <t xml:space="preserve">Apoyar  técnicamente,  
emitir conceptos técnicos y/o asesorar a  entidades nacionales y/o territoriales y otras áreas de la UNGRD, para el fortalecimiento de la reducción del riesgo de desastres y la adaptación al cambio climático </t>
  </si>
  <si>
    <t>Generación de Insumo técnico para orientar el abordaje y la participación comunitaria en las instancias territoriales de gestión del riesgo.</t>
  </si>
  <si>
    <t>Brindar asesoría técnica para el diseño y parametrización de instrumentos financieros necesarios para la gestión del riesgo.</t>
  </si>
  <si>
    <t>Entidades asesoradas técnicamente</t>
  </si>
  <si>
    <t>Gestionar la socialización del documento guía para el aseguramiento de bienes inmuebles públicos (insumo)</t>
  </si>
  <si>
    <t>CDGRD con socialización</t>
  </si>
  <si>
    <t># CDGRD con el documento socializado</t>
  </si>
  <si>
    <t>Circulares, talleres, correos</t>
  </si>
  <si>
    <t>Carolina Giraldo</t>
  </si>
  <si>
    <t>Carmen Elena Pabón
Diego Juial Florez
Gabriel Garcia 
Yudith Diaz</t>
  </si>
  <si>
    <t>Informe de avances presentados</t>
  </si>
  <si>
    <t>Número de informes presentados</t>
  </si>
  <si>
    <t>Articulación de los procesos de la gestión del riesgo en alojamientos temporales</t>
  </si>
  <si>
    <t>Andrea Chavez</t>
  </si>
  <si>
    <t>No. De Hectáreas intervenidas</t>
  </si>
  <si>
    <t>Hectáreas de pradera intervenidas</t>
  </si>
  <si>
    <t>Informe de actividades mensuales, proceso contractual del mismo y actas de entrega</t>
  </si>
  <si>
    <t>Manuel Garcia
Marysol Murcia</t>
  </si>
  <si>
    <t>No. Cabezas de ganado entregadas</t>
  </si>
  <si>
    <t>Cabezas de ganado</t>
  </si>
  <si>
    <t xml:space="preserve">Desarrollar el programa de repoblamiento bovino y establecimiento de praderas mejoradas para los pequeños y medianos ganaderos del departamento del Atlantico. </t>
  </si>
  <si>
    <t>Informe de actividades mensuales, proceso contractual del mismo</t>
  </si>
  <si>
    <t xml:space="preserve">
Manuel Garcia
Rafael Bolaños</t>
  </si>
  <si>
    <t>Número de unidades productivas entregadas</t>
  </si>
  <si>
    <t>Unidad</t>
  </si>
  <si>
    <t>Proyecto agropecuario, a través del aprovechamiento de aguas subterraneas, forrajes mixtos, mejoramiento genetico y ciclo integral de producción, en la etnia Wuayuu</t>
  </si>
  <si>
    <t xml:space="preserve">Base de datos de Convenios y/o contratos para la recuperación(reconstrucción y rehabilitación) de vías, adecuaciones hidráulicas de drenaje  y demás actividades que requieran los departamentos mediante maquinaria amarilla, </t>
  </si>
  <si>
    <t>Yacir Ramirez</t>
  </si>
  <si>
    <t>números de convenios y/o ocntratos realizados</t>
  </si>
  <si>
    <t>convenios y/o contratos realizados</t>
  </si>
  <si>
    <t xml:space="preserve">Realizar convenios y/o contratos para la recuperación(reconstrucción y rehabilitación) de vías, adecuaciones hidráulicas de drenaje  y demás actividades que requieran los departamentos mediante maquinaria amarilla, </t>
  </si>
  <si>
    <t>Instalar Puentes peatonales de la Esperanza y la Prosperidad UNGRD</t>
  </si>
  <si>
    <t>Judith Diaz
Martín Mazo</t>
  </si>
  <si>
    <t>Kms de Vías recuperadas No. de puentes peatonales rehabilitados, puentes vehiculares rehabilitados y Viviendas mejoradas</t>
  </si>
  <si>
    <t>Recuperación-rehabilitación de zonas rurales, infraestructura vial terciaria y de suministros para la rehabilitación de las cubiertas de viviendas afectadas por la ola invernal como consecuencia de eventos físicos de origen natural que causaron pérdidas en el municipio de Toribio- Cauca</t>
  </si>
  <si>
    <t>No. de Beneficiarios, Toneladas entregadas.  Valor de la invesrión por beneficiario.</t>
  </si>
  <si>
    <t>Toneladas</t>
  </si>
  <si>
    <t>Suminstrar 10.000 toneladas de suplemento alimenticio (caña integral ensilada) para bovinos, bufalos u caprinos, afectados por la variabilidad climatica</t>
  </si>
  <si>
    <t>Andrea Chavez/ Luis Gabriel Correa y equipo de agua y saneamiento</t>
  </si>
  <si>
    <t xml:space="preserve">Reportes diarios de operación en formato digital y comunicados de prensa de emergencias </t>
  </si>
  <si>
    <t xml:space="preserve">Luis Fernando Piñeros, Luis Gabriel Correa, Diego Felipe Pedreros, Daniel Ortiz, Daniel Castaño, Carolina Giraldo </t>
  </si>
  <si>
    <t>Informe diario de operación</t>
  </si>
  <si>
    <t xml:space="preserve">Apoyar a los entes territoriales en la coordinación de emergencias </t>
  </si>
  <si>
    <t xml:space="preserve">Actas de entrega y capacitación de implementación del Registro Únido de Damnificados a los entes territoriales </t>
  </si>
  <si>
    <t>Paula Contreras y equipo RUD</t>
  </si>
  <si>
    <t>No. De entes territoriales  con implementación del RUD</t>
  </si>
  <si>
    <t>Entes territoriales</t>
  </si>
  <si>
    <t>Implementar el proyecto integral de registro Unico de Damnificados -RUD</t>
  </si>
  <si>
    <t>Jorge Neira
Rubien Ramirez</t>
  </si>
  <si>
    <t xml:space="preserve"> </t>
  </si>
  <si>
    <t>Rafael Bolaños
Miguel Luengas</t>
  </si>
  <si>
    <t>Adquirir materiales para instalación de "Puentes peatonales de la Esperanza y la Prosperidad UNGRD"</t>
  </si>
  <si>
    <t>Modelo de capacitación diseñado y aprobado en la prueba piloto</t>
  </si>
  <si>
    <t>Alejandra Mendoza
Andrea Chavez
Julliette Brack
Marisol Murcia
Luz Adriana Pineda
Otto Nietzen
Gustavo Beltran
Pedro Antonio Segura</t>
  </si>
  <si>
    <t>prueba modelo diseñado</t>
  </si>
  <si>
    <t>Diseñar un modelo de capacitación y prueba piloto en el proceso de gestión para el manejo de desastres</t>
  </si>
  <si>
    <t>Adriana Cuevas
William Tovar</t>
  </si>
  <si>
    <r>
      <t xml:space="preserve">Potencializar la preparación  en la respuesta y la recuperación </t>
    </r>
    <r>
      <rPr>
        <b/>
        <sz val="10"/>
        <color indexed="50"/>
        <rFont val="Arial"/>
        <family val="2"/>
      </rPr>
      <t>para e</t>
    </r>
    <r>
      <rPr>
        <b/>
        <sz val="10"/>
        <rFont val="Arial"/>
        <family val="2"/>
      </rPr>
      <t>l manejo de desastres</t>
    </r>
  </si>
  <si>
    <t>FECHA 
INICIOFECHA 
INICIO</t>
  </si>
  <si>
    <t>Convenio firmado</t>
  </si>
  <si>
    <t>Pedro Segura
Otto Nietzen
Gustavo Beltran</t>
  </si>
  <si>
    <t>número de convenios firmados</t>
  </si>
  <si>
    <t xml:space="preserve">convenio </t>
  </si>
  <si>
    <t>Realizar Convenio de cooperación para el fortalecimiento de respuesta a emergencias ante incendios forestales</t>
  </si>
  <si>
    <t>Contratos/
conveniosContratos/
convenios</t>
  </si>
  <si>
    <t>Fortalecimiento de la capacidad institucional de los actores del Sistema Nacional de Gestión del Riesgo de Desastres -
SNGRDFortalecimiento de la capacidad institucional de los actores del Sistema Nacional de Gestión del Riesgo de Desastres -
SNGRD</t>
  </si>
  <si>
    <t>Profesional Especializado Subdirección General
Miguel Luengas
Carmen Elena PabónProfesional Especializado Subdirección General
Miguel Luengas
Carmen Elena Pabón</t>
  </si>
  <si>
    <r>
      <t xml:space="preserve">Definir linemientos para la formulación de la </t>
    </r>
    <r>
      <rPr>
        <sz val="10"/>
        <color indexed="8"/>
        <rFont val="Arial"/>
        <family val="2"/>
      </rPr>
      <t>Estrategia de Recuperación de</t>
    </r>
    <r>
      <rPr>
        <sz val="10"/>
        <color indexed="8"/>
        <rFont val="Arial"/>
        <family val="2"/>
      </rPr>
      <t xml:space="preserve">  Desastres</t>
    </r>
  </si>
  <si>
    <t xml:space="preserve">Realizar el diagnóstico de las lecciones
aprendidas en el pais ante fenómenos
recurrentes Realizar el diagnóstico de las lecciones
aprendidas en el pais ante fenómenos
recurrentes </t>
  </si>
  <si>
    <t>Miguel Luengas
Carmen Elena PabónMiguel Luengas
Carmen Elena Pabón</t>
  </si>
  <si>
    <t>Aval del Comité Nacional para el Manejo de Desastres de la Estrategia Nacional de Respuesta a Emergencias - ENRE</t>
  </si>
  <si>
    <t>Luis Martínez
Adriana Cuevas / Alejandra Mendoza
Graciela Ustariz
Jorge Bunch</t>
  </si>
  <si>
    <t>Luis Martínez
Adriana Cuevas / Alejandra Mendoza
Graciela Ustariz</t>
  </si>
  <si>
    <t>Luis Martínez
Adriana Cuevas/ Alejandra Mendoza
Graciela Ustariz</t>
  </si>
  <si>
    <t>Informe de seguimiento al cumplimiento de la agenda</t>
  </si>
  <si>
    <t>Número de seguimientos realizados</t>
  </si>
  <si>
    <t>Seguimiento al cumplimiento de la agenda a desarrollar la Comisión Tecnica Nacional Asesora para el Manejo de Desastres</t>
  </si>
  <si>
    <t>Acta de la reunión de la Comisión para el Manejo de Desastres de aprobación de la Agenda</t>
  </si>
  <si>
    <t>numeros de agendas aprobadas</t>
  </si>
  <si>
    <t>agenda aprobada</t>
  </si>
  <si>
    <t xml:space="preserve">Presentación para aprobación de la comisión de la agenda a desarrollar </t>
  </si>
  <si>
    <t>Oficios de convocatoria remitidos a Comisión Tecnica Nacional Asesora para el Manejo de Desastres y Actas de reuniones en las cuales se hace seguimiento a los compromisos adquridos por los miembros de la Comisión Tecnica Nacional Asesora para el Manejo de Desastres</t>
  </si>
  <si>
    <t>Convocar y realizar reuniones de la Comisión Tecnica Nacional Asesora para el Manejo de Desastres</t>
  </si>
  <si>
    <t>Oficios de convocatoria remitidos a los integrantes del Comité de acuerdo a la Ley 1523 de 2012 y Actas de reuniones en las cuales se hace seguimiento a los compromisos adquridos por los miembros del Comité Nacional para el Manejo de Desastres</t>
  </si>
  <si>
    <t>Convocar y realizar las reuniones del Comité Nacional para el Manejo de Desastres</t>
  </si>
  <si>
    <t>Julliette Brack</t>
  </si>
  <si>
    <t>FECHA 
INICIOFECHA 
INICIOFECHA 
INICIO</t>
  </si>
  <si>
    <t>Richard Vargas
Graciela Ustariz
Subdirector Conocimiento del RiesgoRichard Vargas
Graciela Ustariz
Subdirector Conocimiento del Riesgo</t>
  </si>
  <si>
    <t>Richard Vargas
Graciela UstarizRichard Vargas
Graciela Ustariz</t>
  </si>
  <si>
    <t>Formulación de metodologías para incorporar el análisis de riesgo de desastre en los
proyectos sectoriales y territoriales de inversión pública.</t>
  </si>
  <si>
    <t>Comunicación</t>
  </si>
  <si>
    <t>Comunicación enviada</t>
  </si>
  <si>
    <r>
      <t xml:space="preserve">Definición de Agendas sectoriales estratégicas. </t>
    </r>
    <r>
      <rPr>
        <sz val="11"/>
        <color theme="1"/>
        <rFont val="Calibri"/>
        <family val="2"/>
        <scheme val="minor"/>
      </rPr>
      <t>(para la reducción del riesgo)</t>
    </r>
  </si>
  <si>
    <t>Apoyar la elaboración de agendas sectoriales en Reducción del Riesgo, de las acciones prioritarias del componente programático del PNGRD con los sectores de la administración pública del nivel nacional</t>
  </si>
  <si>
    <t>Generar un documento de identificación preliminar de participación sectorial en los Comités Nacionales</t>
  </si>
  <si>
    <t>Richard Vargas
Graciela Ustariz
Adriana Cuevas Luis Carlos Martínez</t>
  </si>
  <si>
    <t>Formulación, socialización y seguimiento del Plan Nacional de Gestión del Riesgo de Desastres -PNGRD.
Concertación del Plan Nacional de Gestión del Riesgo de Desastres - PNGRD con los Sectores.</t>
  </si>
  <si>
    <t>Validación componente programático del PNGRD</t>
  </si>
  <si>
    <t>Entidades</t>
  </si>
  <si>
    <t>No. De entidades q participaron en la validación del componente</t>
  </si>
  <si>
    <t>Presentación del Plan Nacional de Gestión del Riesgo de Desastres al Consejo Nacional de Gestión del Riesgo de Desastres</t>
  </si>
  <si>
    <t>Orientación a la reglamentación del artículo 42 de la Ley 1523 de 2012</t>
  </si>
  <si>
    <t>Reuniones/Gestiones</t>
  </si>
  <si>
    <t>No. De reuniones o gestiones realizadas.</t>
  </si>
  <si>
    <t>Listado de asistencia, oficios, memorando donde se evidencia la gestión</t>
  </si>
  <si>
    <t>Apoyo al Ministerio de Minas y Energía para el desarrollo técnico y concertación del proceso de transformación del PNC, en el marco del SNGRD. El apoyo técnico de la UNGRD se hará desde cada proceso: conocimiento, reducción y manejo, la OAJ y con la OAPI.</t>
  </si>
  <si>
    <t>Cumplir la ejecución física y presupuestal del proyecto de inversión de Asistencia Técnica en Gestión Local del Riesgo a nivel municipál y deprtamental en Colombia</t>
  </si>
  <si>
    <t>Porcentaje de avance físico y financiero de acuerdo a SPI</t>
  </si>
  <si>
    <t>Ficha seguimeinto e información arrojada por el SPI</t>
  </si>
  <si>
    <t>01/01/52015</t>
  </si>
  <si>
    <t>El proceso iniciado este año ha implicado mesas de trabajo con Min Vivienda y Min Transporte, quienes entregaron observaciones a los proyectos identificados en el PNGRD, estamos en proceso de consolidación de dichos aportes.</t>
  </si>
  <si>
    <t>Ninguno</t>
  </si>
  <si>
    <t>La implementación de las agendas, depende de la adopción del PNGRD, por lo tanto esta meta depende de la expedición de dicho instrumento.</t>
  </si>
  <si>
    <t>Formular la propuesta de estrategia para la incorporación de sectores en el Comité Nacional de Reducción del Riesgo</t>
  </si>
  <si>
    <t>Se adelanto documento propuesta de estrategia para la incorporación de sectores en el Comité Nacional de Reducción del Riesgo.</t>
  </si>
  <si>
    <t>Coordinar la formulación, el desarrollo y el seguimiento de agenda de trabajo del Comité para la Reducción del Riesgo de Desastres</t>
  </si>
  <si>
    <t>A febrero 2015 se tienen en borrador las agendas de trabajo de las dos comisiones técnicas asesoras, que son la base de la agenda de trabajo del Comité Nacional.</t>
  </si>
  <si>
    <t>Se pondrá a consideración de la CNARIT para su validación final en la sesión del 19/03/2015 y para aprobación del Comité Nacional el 24/03/2015.</t>
  </si>
  <si>
    <t>Se realizaron reuniones de discusión con MinCultura, MinComercio,  COLCIENCIAS, ANE, INVEMAR Y COLDEPORTES. También se realizó acompañamiento y orientación con los sectores: Ambiente, Defensa; Minas, Energía e Hidrocarburos. Igualmente se orientó telefónicamente a los técnicos de los Ministerios de Ambiente, Vivienda y Transporte, con relación al alcance de varios proyectos y las alternativas para el envío de la información a la UNGRD.
Se realizó presentación ante el Comité Nacional RR sobre estado de avance PNGRD y se apoyó una reunión preparatoria sobre el plan de trabajo de dicha comisión.</t>
  </si>
  <si>
    <t># de acuerdos o convenios gestionados</t>
  </si>
  <si>
    <t xml:space="preserve">Se generó inventario de información disponible en la página Web del IGAC, (Sistema de información geográfica para el ordenamiento territorial - SIGOT) y las páginas de las entidades que componen el SNIGRD, registrando la disposición de servicios de mapa en formato WMS, niveles de información en formato SHP.
Adicionalmente se elaboró ofició Numero  SRR-M-105-2015 solicitando la definición de los procedimientos que se van a llevar en conjunto con la OAPI para la gestión de la información a las entidades del SNIGRD </t>
  </si>
  <si>
    <t>Gestionar información cartográfica para el desarrollo de bases conceptuales y lineamientos de gestión del riesgo en municipios priorizados que cuenten con la información</t>
  </si>
  <si>
    <t>Municipios con Información Cartográfica</t>
  </si>
  <si>
    <t xml:space="preserve"># de municipios con información cartográfica identificada </t>
  </si>
  <si>
    <t>Se ha generado información cartográfica y estadística de los niveles de información que se han descargado de las páginas de IGAC y la información disponible en la UNGRD en escalas 1:100.000 para 40 municipios priorizados para el año 2015 en asistencia técnica</t>
  </si>
  <si>
    <t>Elaborar un documento de propuesta de requerimientos para el proceso de reestructuración de la BDG en los temas relacionados con Reducción del Riesgo de acuerdo con parámetros que determine la OAPI</t>
  </si>
  <si>
    <t>Niguno</t>
  </si>
  <si>
    <t xml:space="preserve">A enero 1 de 2015 se tenía programado un presupuesto de  $ 4.230.544.156 para adquisición de predios (valor comprometido a diciembre 31 de 2014  $ 3.396.542.974 +  $ 834.001.182 saldo sin comprometer de las cuentas 2701 y 270602). La ejecución de enero y febrero relacionada correspondería al 28 % ($ 1.197.897.843) del presupuesto programado para el 2015 </t>
  </si>
  <si>
    <t xml:space="preserve">El PGIR - AVG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seguimiento a compensaciones. </t>
  </si>
  <si>
    <t>Ejecución física del contrato</t>
  </si>
  <si>
    <t xml:space="preserve">►En cuanto a la gestión realizada para adelantar el proceso de contratación de la demolición e interventora de predios adquiridos por el FNGRD, se tiene un avance del 50 % correspondiente a estudios previos finalizados 
►En el momento que inicie la ejecución del contrato de demoliciones e interventora se medirá porcentualmente el respectivo avance.  </t>
  </si>
  <si>
    <t>Proyectos ejecutados físicamente al 100%</t>
  </si>
  <si>
    <t># de proyectos ejecutados físicamente al 100%</t>
  </si>
  <si>
    <t>Con corte a 28 de febrero de 2015 se tienen 16 de los 34 proyectos que se hacen parte de la Linea de Plan de Choque ejecutados al 100%.</t>
  </si>
  <si>
    <t>Se Elaboró primer borrador de matriz la cual fue entregada el 4 de marzo de 2015 para comentarios. Para efectos de contar con un documento completo por proyecto, se está elaborando un "BOOK" en el cual se consigne toda lo información del proyecto de vivienda, que contenga una informe ejecutivo, con la  etapa de formulación, aspectos técnicos, jurídicos, financieros y etapa de construcción del proyecto - ejecución y seguimiento. El "BOOK" será circulado el 16 de marzo de 2015. (con el BOOK implementado se espera tener el 5% de avance). 
Se  proyectó un borrador de la diagramación para la incorporación del banco de proyectos de vivienda en el SIGPAD,  mediante la elaboración de un flujograma donde se indica el procedimiento de un proyecto desde su radicación hasta su respectiva evaluación.</t>
  </si>
  <si>
    <t>Se está desarrollando una matriz de consolidación para los proyectos de vivienda que son radicados ante la UNGRD con el apoyo del Arq. Mauricio Carvajal, adicionalmente se está investigando  la existencia de proyectos de vivienda radicados y su procedimiento desde la radicación del proyecto hasta su evaluación.</t>
  </si>
  <si>
    <t>Realizar Asistencia técnica a entidades territoriales en temas específicos de intervención de la vulnerabilidad</t>
  </si>
  <si>
    <t>Asesorías</t>
  </si>
  <si>
    <t>Se recibieron Siete (7) solicitudes de asesoría técnica. Debido al tipo de solicitud y a las otras labores que se desarrollan desde la línea de intervención de vivienda, Cinco (5) solicitudes fueron atendidas y Dos (2) quedaron pendientes por atender en el periodo, sin embargo, dando cumplimiento a los términos establecidos los conceptos se encuentran en elaboración y serán remitidos los primeros días de marzo.</t>
  </si>
  <si>
    <t xml:space="preserve">En el mes de Enero de 2015, se diseñó la matriz de seguimiento en la cual se reportan las acciones que se adelantan semanalmente respecto a los proyectos de vivienda en los estados de estructuración, ejecución y en liquidación; En el mes de Febrero de 2015 se actualizó semanalmente la matriz, consignando todas las acciones adelantadas de los proyectos que se encuentran en los tres estados mencionados. </t>
  </si>
  <si>
    <t>Durante el transcurso de los meses de Enero y Febrero de 2015, se realizaron gestiones  ante la FIDUCIARIA tales como: Revisión general del estado de solicitudes y firmas de atas ya existentes para liquidación y en proceso, de  igual forma se realizó reunión con el DNP con el fin de clarificar e inventariar los requerimientos  por parte de la IAF en cuanto a irregularidades del desarrollo del convenio, se realizan desembolsos a los convenios de Tierralta  y San Pelayo en el Departamento de Córdoba. Dentro de los convenios liquidados en estos meses encontramos los siguientes: Enero: San Miguel (Santander), Febrero: ninguno.</t>
  </si>
  <si>
    <t>Teniendo en cuenta el gran número de proyectos que se tenían evaluados desde 2014, pero que no se les había dado la respectiva gestión en el SIGOB, durante el primer periodo de 2015 se le ha dado prioridad adelantando los respectivos tramites, de igual manera se han revisado los proyectos que no son competencia de la UNGRD para hacer la respectiva remisión.</t>
  </si>
  <si>
    <r>
      <t xml:space="preserve">Se poyaron los proceso conforme a la demanda presentada a la SRR, se atendieron 39 solicitudes técnicas de entidades territoriales para las cuales se destino un total de 27 horas, adicionalmente se apoyaron los procesos de SIBRU Y Honda (Río Gualí).
</t>
    </r>
    <r>
      <rPr>
        <b/>
        <sz val="9"/>
        <color theme="0"/>
        <rFont val="Arial"/>
        <family val="2"/>
      </rPr>
      <t xml:space="preserve">SIBRU: </t>
    </r>
    <r>
      <rPr>
        <sz val="9"/>
        <color theme="0"/>
        <rFont val="Arial"/>
        <family val="2"/>
      </rPr>
      <t xml:space="preserve">Se han adelantado reuniones y visitas con IDIGER,DIGER IDU Acueducto para la determinación de los predios que se van a utilizar como escenario del simulacro. 31,5 horas de trabajo.
</t>
    </r>
    <r>
      <rPr>
        <b/>
        <sz val="9"/>
        <color theme="0"/>
        <rFont val="Arial"/>
        <family val="2"/>
      </rPr>
      <t xml:space="preserve">HONDA: </t>
    </r>
    <r>
      <rPr>
        <sz val="9"/>
        <color theme="0"/>
        <rFont val="Arial"/>
        <family val="2"/>
      </rPr>
      <t>Se adelantaron las siguientes acciones: 
- Asistencia a Reunión convocada por UNGRD como coordiandora técnica para abordar problemática Río Guali-Honda. 9-02-15
-  Mesa Técnica 12/02/15
- Elaboración informe técnico
Tolta 37 horas destinadas a esta labor.</t>
    </r>
    <r>
      <rPr>
        <b/>
        <sz val="9"/>
        <color theme="0"/>
        <rFont val="Arial"/>
        <family val="2"/>
      </rPr>
      <t xml:space="preserve">
</t>
    </r>
  </si>
  <si>
    <t xml:space="preserve">Se han adelantado reuniones con el equipo de trabajo para verificar los procedimientos actuales y así concertar los ajustes que se deben realizar; se consolidaran los ajustes necesarios acorde con las experiencias que se tiene en  la utilización de los procedimientos y formatos.         </t>
  </si>
  <si>
    <t xml:space="preserve">Se está elaborando la estructura de la guía (contenido), definiendo los alcances de cada actividad. Para el 18 de marzo se circulará el documento de estructura. </t>
  </si>
  <si>
    <t>Desarrollar estrategia de socialización de técnicas constructivas que utilizan material vegetal vivo como elemento de construcción, solo o combinado con materiales inertes para obras civiles para la consolidación
de taludes, riberas y control de la erosión</t>
  </si>
  <si>
    <t xml:space="preserve">Se están adelantando conversaciones con la Universidad de Manizales para contar  con el apoyo de un grupo de investigación que apoye las actividades de investigación y análisis de los casos exitosos implementados en el país con las técnicas de obras biomecánicas o de bioingeniería </t>
  </si>
  <si>
    <t xml:space="preserve">Seguimiento a la implementación de proyecto piloto en tecnológias alternativas no convencionales cofinanciado por el FNGRD.  </t>
  </si>
  <si>
    <t>El 20 de Febrero de 2015 a las 8:00 am Se realiza reunión con el CMGRD de Popayán y el CDGRD de Cauca para socializar el proyecto de convenio entre la UNGRD y el CMGRD 
2:00 pm Se realiza reunión de socialización del convenio y pautas para la formulación del proyecto de convenio, quedando como compromisos los siguientes: • La empresa de Acueducto y Alcantarillado realizará la formulación del proyecto.
• La UNGRD adelantará la elaboración del preliminar de los estudios previos necesarios para la suscripción del convenio, previa socialización y análisis al interior de la Subdirección de Reducción del Riesgo de la UNGRD; 
• Para el trabajo de elaboración conjunta de los estudios previos, se socializarán vía correo electrónico con CMGRD y APSA,  en caso de ser necesario se realizarán reuniones virtuales (videoconferencia). Para el componente técnico de la formulación del proyecto se trabajará con el Ing. Fabio, y para los temas de convenio y presupuesto directamente con la Dra. Liliana.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</si>
  <si>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</si>
  <si>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circulares, estudios, evaluaciones y análisis en relación con la incorporación de medidas de reducción del riesgo - intervención prospectiva - en la planificación. </t>
  </si>
  <si>
    <t>(# documento elaborados o revisados técnicamente / # documento recibidos o solicitados) *100</t>
  </si>
  <si>
    <t xml:space="preserve">Se atendió solicitud de la Oficina Asesora de Cooperación-UNGRD, para elaborar la presentación y documento insumo, del texto a utilizar por del Director General de la Unidad Nacional para la Gestión de del Riesgo de Desastres de Colombia Dr. Carlos Iván Márquez Pérez en el Lanzamiento de Delta Coalitión en la Conferencia Mundial de Reducción del Riesgo de Desastres en Sendai – Japón. </t>
  </si>
  <si>
    <t>Emitir conceptos técnicos para asesorar a entidades nacionales y/o territoriales en relación con la incorporación de medidas de reducción del riesgo en la planificación.</t>
  </si>
  <si>
    <t xml:space="preserve">Se atendieron dentro de los términos legales, las solicitudes realizadas por entidades públicas del orden local y nacional; personas naturales y jurídicas; entes territoriales: municipios, distritos y departamentos.
ENERO: 5 Solicitudes
FEBRERO: 8 Solicitudes
</t>
  </si>
  <si>
    <t>Asistir técnicamente a la CEI-COT en los procesos relacionados con la agenda y plan de acción 2015</t>
  </si>
  <si>
    <t xml:space="preserve">Participación en reunión CEI-COT donde se presenta proyecto de Gobernación del Valle con Universidad del Valle para Junchaco-Ladrilleros, en donde se presentó información Convenio FNGRD-DIMAR Estudios de Riesgo por Tsunami Tumaco -Salahonda -Buenaventura  que incidirá en alcance  y decisiones del Proyecto de la Gobernación. </t>
  </si>
  <si>
    <t>Elaborar la versión final publicable del documento “Guía Municipal de Incorporación de la gestión del riesgo en el ordenamiento Territorial en coordinación con SCR
 (Continuo de Plan de Acción 2014)</t>
  </si>
  <si>
    <t>Se inició la revisión del primer borrador, en cuanto a la validación  de la estructura de contenidos planteados para la guía de integración de la Gestión del Riesgo de Desastres en el Ordenamiento Territorial Municipal.</t>
  </si>
  <si>
    <t>Porcentaje de Formulación</t>
  </si>
  <si>
    <t>La Actividad comienza en julio de 2015</t>
  </si>
  <si>
    <t>Articular gestiones para incorporar el componente de gestión del riesgo en Guía DNP para formulación de planes de desarrollo</t>
  </si>
  <si>
    <t>Se  adelantó la primera reunión de acercamiento con el DNP, se inició la revisión inicial de la Guía de desarrollo Territorial 2012-2015, como primer paso en el desarrollo del nuevo documento.</t>
  </si>
  <si>
    <t xml:space="preserve">Enero y febrero:
 1.  Asistencia a comités técnicos.   
2.    En el marco del Seguimiento técnico, administrativo y financiero al Convenio se revisaron los documentos diagnósticos de las dos islas informes entregados en enero).  
3. Se elaboró estructura de informes de gestión a presentar por Gobernación, Alcaldía y entidades que aportan productos  (estudios técnicos) al Convenio.
</t>
  </si>
  <si>
    <t xml:space="preserve">La elaboración de productos del Convenio ha sufrido retrasos por : 
1.  Falta de capacidad técnica y administrativa  de los operadores del Convenio ( Gobernación del Archipiélago de San Andrés - Alcaldía de Providencia y Santa  Catalina) 
2. Incumplimiento en la entrega de productos de entidades participes del Convenio ( IGAC, Ministerio Interior, INCODER)  
</t>
  </si>
  <si>
    <t>Realizar el seguimiento al convenio 677-04-1132-2013 formulación EOT La Florida</t>
  </si>
  <si>
    <t>Convenio que continua de 2014, se está pendiente de envío por parte de la Alcaldía de La Florida de informe de gestión y producto radicado a Corponariño solicitados en visita de supervisión de diciembre de 2014. Informe de Supervisión se realiza en mayo de 2015.</t>
  </si>
  <si>
    <t>No se ha recibido por parte de la Alcaldía de La Florida de informe de gestión y producto radicado a Corponariño solicitado en visita de supervisión de diciembre de 2014.</t>
  </si>
  <si>
    <t>Se adelantará la asistencia en la fase de construcción del Lineamientos a municipios priorizados segundo semestre de 2015.</t>
  </si>
  <si>
    <t xml:space="preserve">Realizar la línea base (diagnostico) de los municipios priorizados en cuanto a insumos y avances en la integración de la GRD y OT </t>
  </si>
  <si>
    <t xml:space="preserve">Se obtuvo la información parcial de 20 municipios  de los departamentos de ATLANTICO, CALDAS, RISARALDA, ANTIOQUIA, MAGDALENA y VALLE </t>
  </si>
  <si>
    <t xml:space="preserve">Demora de las entidades en la entrega de la información. </t>
  </si>
  <si>
    <t xml:space="preserve">Documento de diagnóstico  (línea base) </t>
  </si>
  <si>
    <t xml:space="preserve"> # diagnósticos realizados</t>
  </si>
  <si>
    <t>De acuerdo con Plan de Trabajo se avanzó en la consecución de información para la Línea Base para el desarrollo de los diagnósticos. Se adelantaron   reuniones en 7 municipios de los departamentos del Atlántico, Magdalena, Valle, Caldas, Risaralda y Antioquia, a través de reuniones con los CMGRD, Secretarias de Planeación, CAR´s.</t>
  </si>
  <si>
    <t>En el mes de febrero se generaron  los insumos para la construcción de Línea Base: Presentaciones del Programa,  definición de  municipios, documento marco, plan de trabajo,   formatos para la consignación de información y se dio inicio a la recopilación de la información primaria regional y secundaria municipal.</t>
  </si>
  <si>
    <t># lineamientos realizados</t>
  </si>
  <si>
    <t xml:space="preserve">La actividad comienza en el segundo semestre de 2015 luego de contar con la línea base y priorizar  municipios en dónde se va a actuar. </t>
  </si>
  <si>
    <t xml:space="preserve">En el mes de enero no se contaba con la contratación requerida para el desarrollo de esta acción. 
En el mes de febrero se dio inicio a la recopilación de la información municipal y a la construcción de la línea base para el desarrollo de los diagnósticos.
</t>
  </si>
  <si>
    <t>Política de intervención para el reasentamiento de población localizada en zonas de riesgo no mitigable, desde la intervención prospectiva y correctiva del riesgo.</t>
  </si>
  <si>
    <t>Etapa de estudio y analisis normativo.</t>
  </si>
  <si>
    <t>% de avance en la elaboración del documento de propuesta técnica</t>
  </si>
  <si>
    <t xml:space="preserve">Se revisó el producto del profesor José Daniel Pabón junto con la Subdirectora de Reducción con el fin de revisar insumos a elaborar para la construcción del  Documento propuesta técnica.
Se realizaron las gestiones pertinentes para elaborar Convenio con el Departamento de Geografía de la Universidad Nacional
</t>
  </si>
  <si>
    <t>Asesorar técnicamente las actividades relacionadas con el PNACC en articulación con políticas y estrategias de Reducción del Riesgo</t>
  </si>
  <si>
    <t># de asesorías técnicas realizadas/ # de asesoría técnicas programadas</t>
  </si>
  <si>
    <t xml:space="preserve">En el marco del Plan Nacional de Adaptación se han realizado las siguientes actividades:
- Participación en Reuniones de Comité PNACC
- Inicio de acompañamiento técnico al CDGRD Boyacá y Gobernación Boyacá para la formulación del Plan Integral de Cambio Climático 
- Participación Mesa Nacional de Adaptación en articulación con Plan Nacional de Adaptación al Cambio Climático. (Marzo 6)
- Revisión de metas de adaptación al cambio climático asociadas al Plan Nacional de Desarrollo 2014-2018 </t>
  </si>
  <si>
    <t>Esta meta se encuentra relacionada con informes de seguimiento contractual y técnico a las medidas de adaptación al cambio climático e inicia en Abril de 2015.
Sin embargo se hace la supervisión mensual a los siguientes proyectos:
1.  Convenio No. 9677-04-1047-2013 Fundación CREACUA-Municipio de Riohacha-UNGRD: 50% ejecución. Se realizó Comité Técnico (febrero 17) para revisar avances técnicos del Convenio y gestiones adelantadas por la UNGRD para el Primer Desembolso por parte del Municipio de Riohacha.
2.  Convenio No. 9677-04-898-2013 SAT Unipamplona-UNGRD: 50% Ejecución. Se realizó Comité Técnico (Enero 28) para revisar avances y soportes para Segundo Desembolso por parte del FNGRD. Se tramitó 2 Desembolso por un valor de $73,478,750
3.  Convenio No. 9677-04-201-2013 PNUD-FNGRD:  Se realizó Acta de Terminación con los soportes de recibo de  cada una de las medidas piloto de ACC por parte de la UNGRD. Pendiente firma del Director.</t>
  </si>
  <si>
    <t xml:space="preserve">El Contrato 9677-PPAL001-029-2015 con GUALA FILMS se firmó Acta de Inicio el 20 de Febrero de 2015 y se realizó primer Comité Técnico el 4 de marzo. </t>
  </si>
  <si>
    <t xml:space="preserve">Se iniciaron los 3 procesos:
1. Diseño del Sistema de Indicadores para la Adaptación al Cambio Climático en Colombia liderado por MADS: Las entidades coordinadoras del PNACC (MADS, DNP, IDEAM y UNGRD) apoyan el proceso para el Diseño con el apoyo de CATIE y la Universidad de Copenaghen. Se apoyó la elaboración de Términos de Referencia para la contratación de una consultoría para la Primera Etapa del Proyecto: DIAGNÓSTICO, revisión de hojas de vida, y evaluación técnica de selección, apoyo en la construcción del marco conceptual para la Primera Etapa y acompañamiento en el seguimiento al proceso.
2. Acompañamiento Técnico para la construcción de la  Contribución de Colombia en las negociaciones de Cambio Climático a realizarse en Diciembre de 2015 en París.
3. Apoyo en la construcción del Plan de Acción 2015 entre la UNGRD y la Universidad de Manizales para el fortalecimiento de los procesos de Reducción del Riesgo </t>
  </si>
  <si>
    <t>(# asesorías técnicas realizadas / # asesorías técnicas solicitadas) *100</t>
  </si>
  <si>
    <t>Se han dado los siguientes conceptos técnicos y apoyos técnicos:
1.  Respuesta a Contraloría Delegada de Participación sobre Plan Nacional de Adaptación
2. Acompañamiento Reuniones de coordinación con Ministerio de Agricultura para realizar Reuniones Regionales con actores agropecuarios para preparación de Temporada Seca en los departamentos de La Guajira, Tolima y Huila.
3. Revisión documento de GRD realizado por SCR en lo que respecta a variabilidad y cambio climático.
4. Elaboración de presentación al equipo de Asistencia Técnica de la línea de Instrumentos de Planificación de la SRR (UNGRD) con el fin de aclarar conceptos y articulación de la GRD y ACC.
5. Respuesta a OAJ de la UNGRD sobre la Acción de Reparación por daños reportados en cultivos ají cayenne en Villavicencio
6. Respuesta a Contraloría General sobre las acciones de la UNGRD en adaptación al cambio climático.</t>
  </si>
  <si>
    <t>Articulación del ámbito social y comunitario en el proceso de reducción del riesgo.</t>
  </si>
  <si>
    <t>Se ha revisado información documental sobre procesos de reasentamiento en el país (Gramalote, Tierradentro y Galeras) .</t>
  </si>
  <si>
    <t xml:space="preserve">Asesorar técnicamente  a sectores y organizaciones sociales para la incorporación de la Gestión del Riesgo en el ámbito comunitario. </t>
  </si>
  <si>
    <t>Actualmente se está brindando asesoría a la Confederación Nacional de Acción Comunal para lo cual se han establecido espacios de diálogo en el nivel nacional y se está revisando la guía de formación en gestión del riesgo con la cual capacitarán a 14 mil comunales.</t>
  </si>
  <si>
    <t>Se está ajustando el documento base de abordaje comunitario y se cuenta con un boceto de la ruta, el cual está siendo aplicado en el proceso que adelanta la SMD en Cumbal.</t>
  </si>
  <si>
    <t>No se realizó mesa interinstitucional en la fecha prevista porque al interior de la UNGRD apenas han sido delegadas las personas de cada área para conformar la Mesa de enfoque diferencial y de género. Se prevé primera reunión a finales de marzo.</t>
  </si>
  <si>
    <t>Coordinar el intercambio de experiencias y conocimientos en Gestión del Riesgo desde el ámbito comunitario</t>
  </si>
  <si>
    <t xml:space="preserve">Eventos preparados </t>
  </si>
  <si>
    <t>Están en construcción los términos de referencia para el primer taller regional a realizarse a finales de abril en Ibagué.</t>
  </si>
  <si>
    <t>Se presentó al Subdirección de Reducción del Riesgo la propuesta para la preparación y conmemoración de Octubre: Mes de la Reducción del Riesgo. Actualmente se espera aprobación por parte de la Dirección General.</t>
  </si>
  <si>
    <t>Diseñar y difundir boletines (blog) informativos de la Subdirección para la Reducción del Riesgo, que dé cuenta de las acciones y orientaciones para la reducción del riesgo de desastres en los sectores y territorios</t>
  </si>
  <si>
    <t>Actualizaciones Boletines (Blog)</t>
  </si>
  <si>
    <t xml:space="preserve"># actualizaciones de boletines (blog) </t>
  </si>
  <si>
    <t>Boletines, Correos, Blog actualizado</t>
  </si>
  <si>
    <t>Diseño de Blog. Incorporación de información últimos tres boletínes de 2014. Incorporación nueva noticia, relacionada con Intervención Prospecitva (elaborada por Rafael Sáenz y equipo).</t>
  </si>
  <si>
    <t>No se ha publicado. Las instrucciones de la Subdirectora de Reducción del Riesgo es publicarlo a la par con la información que contratista Alexandra Ramírez elabore para pagina institucional.</t>
  </si>
  <si>
    <t>/# de entidades asesoradas técnicamente / # de entidades programadas) *100</t>
  </si>
  <si>
    <t>Se realizaron acercamientos con Fasecolda. Ministerio de Hacienda y Crédito Público, Finagro, con el ánimo de iniciar el trabajo del 2015. MHCP manifiesta que en principio se debe concertar los temas propuestos en el PNGRD-componente programático, dado que se han incluido algunos que consideran deben ser responsabilidad de los sectores. Se agenda reunión con el grupo de trabajo interno que lidera el tema, se revisa la matriz y se ajusta con responsables sectoriales, teniendo en cuenta  las competencias tanto del MHCP como de los otros actores involucrados. Queda pendiente el envío de la matriz actualizada para nueva revisión al interior de la SRRD y programación de la mesa con el ministerio.</t>
  </si>
  <si>
    <t>En trámite la revisión del PNGRD, componente programático para realizar la mesa de trabajo con el MHCP</t>
  </si>
  <si>
    <t>Lineamientos y guías para aseguramiento de los bienes públicos.</t>
  </si>
  <si>
    <t>Se realizó entrega de borrador al Subdirector General y a la Subdirectora de Reducción del  Riesgo; se reciben sugerencias para fortalecer el documento. Con base en las observaciones se procede a ajustar textos, entregando una nueva versión para revisión. Se espera presentar el documento a consideración de otro grupo, incluidos algunos alcaldes,  previo a la publicación. Se estima que la socialización se hará en dos sesiones inicialmente, una programada para julio y la otra para  diciembre.</t>
  </si>
  <si>
    <t>Ninguna</t>
  </si>
  <si>
    <t xml:space="preserve">El día 28 de Enero de 2015 se realizó el seguimiento a los controles establecidos en el mapa de Riesgos por Corrupción de la Subdirección para la Reducción del Riesgo, dando alcance al seguimiento trimestral que se realiza a estos mecanismos de control y evaluación, el reporte enviado corresponde al corte realizado con fecha 31 de Diciembre de 2014. </t>
  </si>
  <si>
    <t>El día 11 de febrero de 2015 se llevó a cabo reunión, en cabeza de la Oficina de Control Interno y la Subdirección General, con el fin de dar cumplimiento al requerimiento de la CGR, el cual solicitó formular un Plan de Mejoramiento para actualizar el PNC. De acuerdo a los compromisos acordados y las responsabilidades establecidas, desde la Subdirección para la Reducción del Riesgo se adelantó la formulación del plan. De igual manera se apoyo la revisión a las responsabilidades de la SRR en el plan de mejoramiento elaborado para atender los hallazgos del informe de politica pública, en el cual para la SRR solo quedaron los que tienen relacion con el PGIR-AVG.</t>
  </si>
  <si>
    <t>El día 27 de Enero de 2015, se remiten las acciones adelantadas para dar cumplimiento al plan de mejoramiento referente al informe de Política Publica adelantado en el 2014, el cual arrojo como resultado el planteamiento de 7 acciones de mejora para la misma cantidad de Hallazgos. Como parte del proceso de consolidación y articulación que adelanta la Oficina de Control Interno se requirió a la SRR para participar en una reunión conjunta con la SCR y la Subdirección General, con el fin de definir el responsable de dos hallazgos del respectivo plan. Una vez se definieron los responsables sobre los mismos, la SRR queda como responsable de 5 acciones de mejora a las cuales les dio el respectivo cumplimiento con la expedición de la resolución No. 1347 de Noviembre 18  de 2014, a excepción de uno que se encuentra con un cumplimiento del 50%.</t>
  </si>
  <si>
    <t>Se asistio a reuniones el dia 23 de Enero de 2015 y el dia 26 de Febrero de 2015</t>
  </si>
  <si>
    <t>Realizar reuniones de retroalimentación al interior de cada una de las dependencias frente a los avances de la implementación del SIPLAG</t>
  </si>
  <si>
    <t xml:space="preserve">Se relizo reunión de retroalimentación el día 19 de Enero de 2015 de la reunión adelantada en el mes de Diciembre de 2014 y el dia 16 de Febrero para la reunión del mes de Enero de 2015, como consta en las respectivas actas.  </t>
  </si>
  <si>
    <t>Se realizo el cargue de los Indicadores mensuales correspondientes al proceso de gestión de Reducción del Riesgo, verificable en el Aplicativo NEOGESTION.</t>
  </si>
  <si>
    <t xml:space="preserve">El día 28 de Enero de 2015 se realizó el seguimiento a los controles establecidos en el mapa de Riesgos por Procesos de la Subdirección para la Reducción del Riesgo, dando alcance al seguimiento trimestral que se realiza a estos mecanismos de control y evaluación, el reporte enviado corresponde al corte realizado con fecha 31 de Diciembre de 2014. </t>
  </si>
  <si>
    <t>En sesión ordinaria del 04/02/2015 y sesión extraordinaria del 10/02/2015 se formuló la agenda de trabajo. Se pondrá a consideración de la Comisión para su validación final en la sesión del 11/03/2015 y para aprobación del Comité Nacional el 24/03/2015. El reporte del 90% obedece a que se encuentra pendiente su aprobación.</t>
  </si>
  <si>
    <t>En sesión ordinaria del 19/02/2015 se formula la agenda de trabajo. El 90% obedece al hecho de que aún está pendiente su validación.</t>
  </si>
  <si>
    <t>% META ACUMULADA BIMESTRE</t>
  </si>
  <si>
    <t>%CUMPLIMIENTO PA BIMESTRE</t>
  </si>
  <si>
    <t xml:space="preserve">%CUMPLIMIENTO PA A FEBRERO </t>
  </si>
  <si>
    <t># de asesorías realizadas/ # total de asesorías solicitadas</t>
  </si>
  <si>
    <t>% DEL LOGRO OBTENIDO PLAN</t>
  </si>
  <si>
    <t>% LOGRO A FEBRERO</t>
  </si>
  <si>
    <t xml:space="preserve">  </t>
  </si>
  <si>
    <t>SEGUIMIENTO  MARZO DE 2015</t>
  </si>
  <si>
    <t>Nubia Gualteros</t>
  </si>
  <si>
    <t>Patricia Gallego/
María Ortíz</t>
  </si>
  <si>
    <t>Efectuar las conciliaciones de las cuentas por pagar que constituyen el rezago presupuestal de la vigencia 2014</t>
  </si>
  <si>
    <t xml:space="preserve">Proceso de contratacion de un profesional para apoyo a la gestion de la Unidad en la elaboracion del procedimiento y marco de referencia para el seguimiento. </t>
  </si>
  <si>
    <t>Depende del proceso de validacion del Plan.</t>
  </si>
  <si>
    <t>Se efectuó la primera reunion de 2015 el 27 de febrero</t>
  </si>
  <si>
    <t>Se elaboró el plan de vacantes con corte 31 de enero y 28 de febrero de 2015</t>
  </si>
  <si>
    <t>En enero se presentaron 7 incapacidades y en febrero 3</t>
  </si>
  <si>
    <t>Se han realizado 77 actos administrativos</t>
  </si>
  <si>
    <t>Se han realizado 31 actos administrativos</t>
  </si>
  <si>
    <t>Se han realizado 29 pagos</t>
  </si>
  <si>
    <t>Lo maneja financiera</t>
  </si>
  <si>
    <t>Se han realizado 28 trámites</t>
  </si>
  <si>
    <t>Se han recibido 29 legalizaciones</t>
  </si>
  <si>
    <t>No se han realizado reembolsos</t>
  </si>
  <si>
    <t>Se encuentra en elaboración con los resultados del Diagnóstico</t>
  </si>
  <si>
    <t>Se está gestionando para realizar inscripción en torneos deportivos.</t>
  </si>
  <si>
    <t>No se ha ejecutado presupuesto.</t>
  </si>
  <si>
    <t>Se realizó el disgnostico con los beneficiarios del Plan Anual</t>
  </si>
  <si>
    <t>Se elabora al final de la vigencia</t>
  </si>
  <si>
    <t>Se realizó diagnóstico.</t>
  </si>
  <si>
    <t>Se realizó la priorización de ejes de trabajo para dar inicio al estudio de mercado</t>
  </si>
  <si>
    <t>Se da inicio a la implementación mediante laas jornadas de Inducción</t>
  </si>
  <si>
    <t>Se realiza evaluación de la eficacia de la Jornada de inducción</t>
  </si>
  <si>
    <t xml:space="preserve">Actualmente se esta ejecutando el cronograma de SST propuesto para el 2015, como punto positivo se pude realizar visita a Pasto en la cual se desarrollaron diferentes actividades de SST, </t>
  </si>
  <si>
    <t>Se a realizado acompañamiento al COPASST el cual se esta reuniendo cumplidamente y el equipo se encuentra comprometido on las diferentes responsabilidades que le competen.
Se evidencia liderazgo en el grupo, pendiente realizar el remplazo Korina Muñoz quien ya no es de planta.</t>
  </si>
  <si>
    <t>Se esta cumpliendo el cronograma de capacitacion y se ha contado con la invitacion por pate de Manejo para capactaciones complementarias.</t>
  </si>
  <si>
    <t>Aun no se cuenta elegido el comité de convivencia laboral, tan pronto este conformado iniciaremos capacitacion y o acompañamiento.</t>
  </si>
  <si>
    <t xml:space="preserve">Se corrio la fecha de actualizacion para el mes de Abril </t>
  </si>
  <si>
    <t>Se corrio la acualizacion del plan de emergencias para el mes de Abril por inicio del proceso de adquisicion de elementos de SST</t>
  </si>
  <si>
    <t>Se remtió matriz de indicacores a los responsables del proceos para su diligenciamiento. A la fecha solo se encuentran diligenciados 2 indicadores</t>
  </si>
  <si>
    <t>Se realizó actualización del procedimiento de comisiones al exterior, se remitió a la OAPI para aprobación y cargue.</t>
  </si>
  <si>
    <t>% DEL LOGRO A FEBRERO</t>
  </si>
  <si>
    <t>% DEL LOGRO OBTENIDO DEL PLAN</t>
  </si>
  <si>
    <t>se realizaron dos jornadas continuas en la que se preparo una matriz para registrar y consolidar cada rubro de ingreso del FNGRD</t>
  </si>
  <si>
    <t>Plan de adquisiciones elaborado y publicado en pagina Web</t>
  </si>
  <si>
    <t>a la fecha se encuentran formuladas y cargadas en la plataforma tecnologica Neogestión las acciones de los planes de mejoramiento de los procesos de la Unidad.</t>
  </si>
  <si>
    <t>Se han realizado dos reunioones mensualmente y la reunión del mes de marzo esta programada para realizarse el 30 de marzo</t>
  </si>
  <si>
    <t>Estrategia aprobada y publicada en pagina Web</t>
  </si>
  <si>
    <t>ya esta formulado y publicado en la pagina web de la entidad</t>
  </si>
  <si>
    <t>Paulina Hernandez</t>
  </si>
  <si>
    <t>Luz Marina Centeno</t>
  </si>
  <si>
    <t>No de hojas de vida actualizadas/ No total de hojas de vida de funcionarios *100</t>
  </si>
  <si>
    <t>Maritza Herrera</t>
  </si>
  <si>
    <t>Lina Hernandez - Maria Patricia Lopez</t>
  </si>
  <si>
    <t>Maria Patricia Lopez</t>
  </si>
  <si>
    <t>Lina Hernandez</t>
  </si>
  <si>
    <t>Christian Arevalo</t>
  </si>
  <si>
    <t>Hay un documento previo en borrador, próximo para oficializar y dejarlo como guía interna para la OAC</t>
  </si>
  <si>
    <t>- Apoyo con Notas comunicativas
- Apoyo en intermediación para cotizaciones con la imprenta
- Apoyo en montaje de Micrositio Web
- Apoyo en selección de logo</t>
  </si>
  <si>
    <t>Boletín Sistema al Día, edición mes de febrero.</t>
  </si>
  <si>
    <t>Actualización constante de base todas las bases de datos, para envío de comunicaciones masivas.</t>
  </si>
  <si>
    <t>Envío de Acuerdos para la coordinación entre las oficinas de comunicación del Sistema.
Envío de información a Ministerio de Salud para difusión interna sobre temporada seca.</t>
  </si>
  <si>
    <t>Formulación de términos para nuevo convenio. Pendientes de trámites administrativos para viabilidad</t>
  </si>
  <si>
    <t>Reactivación de trámite con RTVC</t>
  </si>
  <si>
    <t>Continuos cambios organizacionales y demoras por problemas internos del equipo de RTVC</t>
  </si>
  <si>
    <t>250 actualizaciones en Facebook, Twitter y YouTube</t>
  </si>
  <si>
    <t>Blog para la Subdirección de Reducción del Riesgo de Desastres. Linkeada a página web de la UNGRD.</t>
  </si>
  <si>
    <t>Por medio del convenio con Maloka, se buscará una alternativa para usar un domino y contenido ya exitentes, para reducir gastos y aprovechar los recursos con los que ya contamos</t>
  </si>
  <si>
    <t>60 monitoreos de medios diarios.</t>
  </si>
  <si>
    <t>28 comunicados de prensa emitidos</t>
  </si>
  <si>
    <t>En formulación de términos de referencia</t>
  </si>
  <si>
    <t>Pendones entregados y distribuidos a los CDGRD, CMGRD y a las áreas de la UNGRD.</t>
  </si>
  <si>
    <t>Demoras en entregas por parte de la Imprenta</t>
  </si>
  <si>
    <t>Cambio en el look visual de comunicados de prensa, notas de último minuto e informativo para el envío masivo de información pública.</t>
  </si>
  <si>
    <t>Estrategia de comunicación interna elaborada y aprobada por la Jefe de la Oficina Asesora de Comunicaciones.</t>
  </si>
  <si>
    <t>Reuniones llevadas a cabo el 6 y 16 de febrero para la concertacion de acciones conjuntas de las actividades a desarrollar en la UNGRD durante el 2015.</t>
  </si>
  <si>
    <t>Campañas desarrolladas durante el primer bimestre: "Tu puesto, tu reflejo" - " Lo que escribes también habla de ti".</t>
  </si>
  <si>
    <t>Boletín interno de enero y febrero enviado por mail y publicados en cartelera institucional.</t>
  </si>
  <si>
    <t>En los rotafolios durante el primer bimestre se públicó: mes en imágnes enero y febrero; 2 videos de acciones de la UNGRD en Colombia y 1 saludo del director a funcionarios y contratistas.</t>
  </si>
  <si>
    <t xml:space="preserve">Estartegia de asignación de corresponsales para cada área. Reunión de cada uno de  ellos con las áreas para coordinación de actividades </t>
  </si>
  <si>
    <t>Durante los meses de enero y febrero se crearon 39 carpetas en las cuales se albergan 620 fotografías y videos.</t>
  </si>
  <si>
    <t>1 comercial sobre instalación de taladro perforador de pozos en la Guajira</t>
  </si>
  <si>
    <t>Se realizaron 2 videos del mes en imágenes correspondientes a enero y febrero.  Subidos al Canal de YouTube y compartido por los distintos canales de comunicación dispuestos.</t>
  </si>
  <si>
    <t>1 trámite para publicación de comercial sobre La Guajira</t>
  </si>
  <si>
    <t>Limitaciones para hacerlo público y masivo por negativas de la alta consejería para las comunicaciones de presidencia</t>
  </si>
  <si>
    <t>Formulación de índice de contenidos para el manual</t>
  </si>
  <si>
    <t>Se realizaron 12 eventos externos dándole atención a  325 personas</t>
  </si>
  <si>
    <t>Se realizaron 17 eventos internos  dándole atención a 153 personas.</t>
  </si>
  <si>
    <t>Búsqueda de opciones de sitio para realización de evento</t>
  </si>
  <si>
    <t>Actualizaciones disponibles con  URL 60</t>
  </si>
  <si>
    <t>130 Ejemplares catalogados y clasificados.</t>
  </si>
  <si>
    <t>2 reuniones, correspondientes a los meses de enero y febrero.</t>
  </si>
  <si>
    <t>2 socializaciones al interior de la Oficina sobre temas Siplag.</t>
  </si>
  <si>
    <t xml:space="preserve">La jefe OAC participó en formulación de estrategia llevada a cabo el mes de Enero en reunión con el equipo de planeación. </t>
  </si>
  <si>
    <t>El 14 de enero se enviaron dos cartas dirigidas al Ministerio de Hacienda y Crédito Público y DNP con el fin de involucrarlos en la asistencia técnica del Banco Mundial; a su vez, se envió al Banco Mundial la matriz de productos y subproducto a entregar por parte del Gurupo de Asistencia Técnica</t>
  </si>
  <si>
    <t>No se han asignado documentos de contenido jurídico por parte de la Dirección General.</t>
  </si>
  <si>
    <t>Dos resoluciones sobre la Constitución de la caja menor de la UNGRD.
Resoluciones: 111, 112, 113, 114, 117, 118, 119, 120, 115 y 116</t>
  </si>
  <si>
    <t>Se realizó un memorando dirigido a cada una de las áreas dando los lineamientos y parámetros del daño antijurídico que sacó la Agencia Nacional de Defensa Jurídica.</t>
  </si>
  <si>
    <t>se le ha dado contestación a los derechos de petición, requierimientos y solicitudes allegados a  la UNGRD y manejados por la Oficina Asesora Jurídica</t>
  </si>
  <si>
    <t>Basados en los tiempos jurídicos de contestación los retrasos no pueden llevar más de 15 días para dar su respectiva contestación.</t>
  </si>
  <si>
    <t>Se da contestación a las diferentes tutelas en contra de la UNGRD en los tiempos establecidos para cada una de ellas</t>
  </si>
  <si>
    <t>De los 12 hallazgos en el planes de mejoramietno, se ha dado respuesta, y está pendiente la validación por parte del jefe de OAJ</t>
  </si>
  <si>
    <t>La persona que tenía conocimiento de un hallazgo ya no trabaja más con la UNGRD. Uno de los hallazgos encontrados, por error de la plataforma, no me permite dar continuidad al cierre el mismo.</t>
  </si>
  <si>
    <t>El seguimiento se ha dado durante los tres meses transcurridos, evidenciando en la herramienta Neogestión los soportes y proceso que se le ha hecho a cada uno</t>
  </si>
  <si>
    <t>Se ha asistido a la totalidad de las reuniones programadas</t>
  </si>
  <si>
    <t>Se realizó la primera retroalimentación al interior de la OAJ</t>
  </si>
  <si>
    <t>Por realización de reunión refuerzo SIPLAG por parte de OAPI, no se ha relizado la segunda, por falta de tiempo</t>
  </si>
  <si>
    <t>En cuanto a esta actividad, no se ha realizado el cargue de indicadores, ya que para la AOJ dicha actividad se realizará trimestralmente.</t>
  </si>
  <si>
    <t>Queda pendiente reunión con el jefe de la OAJ para osibles cambios o midificaciones que se requiera en el mapa de riesgos por procesos</t>
  </si>
  <si>
    <t>Queda pendiente reunión con el jefe de la OAJ para osibles cambios o midificaciones que se requiera en el mapa de riesgos de corrupción</t>
  </si>
  <si>
    <t>Se cuenta con el borrador de la agenda aprobada al interior de la UNGRD, pendiente aprobación por los participantes externos de la comisión</t>
  </si>
  <si>
    <t>Se cuenta con el borrador de los términos de referencia para la creación de la comisión</t>
  </si>
  <si>
    <t>Inicia en el mes de abril el desarrollo</t>
  </si>
  <si>
    <t>Por parte de la UNGED se identificaron 24 sectores, los cuales se encuentra en revisión por parte de la SMD</t>
  </si>
  <si>
    <t>Inicia la aprobación a partir del mes de octubre 2015</t>
  </si>
  <si>
    <t>Se han convocado 2 y realizado 2 reuniones del comité</t>
  </si>
  <si>
    <t>Se han realizado 4 reuniones con representantes  de la Comisión</t>
  </si>
  <si>
    <t>Se cuenta con la agenda diseñada en interior de la UNGRD, teniendo como referente  la Ley 1523 y requerimientos del proceso para el Manejo de Desastres</t>
  </si>
  <si>
    <t>A la fecha las reuniones realizadas, se encuentra pendiente citación para el desarrollo del protocolo en comunicaciones públicas</t>
  </si>
  <si>
    <t xml:space="preserve">No se ha convocado a esta reunion por parte del responsable directo.  </t>
  </si>
  <si>
    <t>ENRE formulada, revisión y ajustes</t>
  </si>
  <si>
    <t>Diseño del plan de socialización con los integrantes de la Comisión para el Manejo de Desastres.
Solicitud prorroga a la firma consultora de la ENRE para el desarrollo de la Socialización y presentación de la ENRE</t>
  </si>
  <si>
    <t>Al respecto esta pendiente que la Subdirectora verifique si estas actividades continúan o no, dada la restricción realizada por el director a las actividades propuestas.</t>
  </si>
  <si>
    <t>se encuentra destinación presupuestal aprobada por la Subdirección General, para la contratación de prestación de servicios esp.</t>
  </si>
  <si>
    <t>Se participo en el CNARIT del 19 de febrero, se acordó apoyar en el diseño de un taller para la formulación del capitulo operación delPNC, el cual se adelantaría con los integrantes de la CNARIT y el CMD en el mes de mayo. La propuesta metodológica, esta sujeta a un insumo de Ecopetrol que debe enviar a finales de marzo.</t>
  </si>
  <si>
    <t>se han realizado reuniones ajustes al documento.
Pendiente presentar a la SMD</t>
  </si>
  <si>
    <t>se encuentra el proceso para la firma, con el fin de adelantar la subasta inversa de los lotes para la dotación del Centro nacional logístico</t>
  </si>
  <si>
    <t>se encuentra realizada la minuta para firma de las partes</t>
  </si>
  <si>
    <t>se encuentra en estudio de mercado</t>
  </si>
  <si>
    <t>no se ha iniciado el proceso</t>
  </si>
  <si>
    <t>ajuste y finalización documento versión 2</t>
  </si>
  <si>
    <t>Aun no se ha empezado esa actividad.</t>
  </si>
  <si>
    <t>la coordinación para el desarrollo del Simulacro Nacional en Búsqueda y Rescate Urbano se divide en 5 fases, la inicial que se encuentra en ejecución del 100%, la viabilidad que se encutra 100%, la de diseño y desarrollo en 70%, la de ejecución 0% porque se realiza en junio y la de evaluación en el 20%</t>
  </si>
  <si>
    <t>se cumple con la meta establecida y se puede observar en la herramienta de neo gestión indicadores SMD</t>
  </si>
  <si>
    <t>se ha realizado la consolidación de necesidades internas y externas.
Reunión lideres de área SMD.</t>
  </si>
  <si>
    <t>los soportes son los reportes preliminares y visor UNGRD</t>
  </si>
  <si>
    <t>Se encuentran estructurando la enea base para priorizar los entes territoriales</t>
  </si>
  <si>
    <t>se encuentran en la herramienta de neo gestión -indicadores-</t>
  </si>
  <si>
    <t>no existen solicitudes a la fecha</t>
  </si>
  <si>
    <t>se han atendido los solicitudes realizadas, verificar el  VISOR -UNGRD</t>
  </si>
  <si>
    <t>Se cuenta con todos los reportes diarios de las intervenciones realizadas</t>
  </si>
  <si>
    <t>se han atendido todas las solicitudes realizadas</t>
  </si>
  <si>
    <t xml:space="preserve">realizó el primer comité administrativo el día 26 de febrero, en el cuál se aprobó el plan operativo, que contiene las actividades, costos y cronograma de ejecución, se realizó el primer desembolso del 50% por valor de 2.015 millones de pesos, se inició la contratación del proveedor del suplemento bovino (caña ensilada).  Teniendo en cuenta que este convenio se desarrollará por demanda, se aclara que el porcentaje de avance físico dependerá de los usuarios que soliciten el beneficio. </t>
  </si>
  <si>
    <t>Se unieron las líneas 5 y 6, que se ejecutarán mediante el Convenio No. 9677-PPAL001-221-2015 CELEBRADO ENTRE EL FONDO NACIONAL DE GESTION DEL RIESGO DE DESASTRES – FIDUPREVISORA S.A., EL MINISTERIO DE AGRICULTURA Y DESARROLLO RURAL – MADR –Y EL MUNICIPIO DE TORIBIO, DEPARTAMENTO DEL CAUCA mediante el cual se apoyará con recursos económicos el desarrollo rural mediante recuperación - rehabilitación de zonas rurales, infraestructura vial terciaria y de suministros para la rehabilitación de las cubiertas de viviendas afectadas por la ola invernal como consecuencia de eventos físicos de origen natural que causaron pérdidas en el municipio de Toribio – Cauca.  Se está a la espera del perfeccionamiento y legalización del mismo por parte de FIDUPREVISORA.  Se programó visita para el día 25 de marzo de 2015 para dar inicio al Convenio.  El avance físico dependerá de la celeridad con que el municipio realice las contrataciones que se derivan del Convenio en mención.</t>
  </si>
  <si>
    <t>se han construido 4, 11 pozos en proceso de construcción</t>
  </si>
  <si>
    <t>Se realizó estudio de mercado para las obras y la interventoría.  Se elaboraron los estudios previos de las obras y se solicitó al contratista el envío de los documentos necesarios para elaboración del contrato.  Para la interventoría se elaboraron los estudios previos y se encuentran en revisión por parte del MADR.</t>
  </si>
  <si>
    <t>Se elaboraron los estudios previos y se remitió a FIDUPREVISORA la instrucción solicitando la elaboración de la minuta del Convenio con ASOGANORTE</t>
  </si>
  <si>
    <t>falta incluir los contratos en proceso contractual</t>
  </si>
  <si>
    <t>se encuentran en seguimiento al desarrollo de las actividades</t>
  </si>
  <si>
    <t>actualizado el seguimiento a la fecha</t>
  </si>
  <si>
    <t>se ha asistido a las reuniones mensuales, citadas por parte de planeación UNGRD</t>
  </si>
  <si>
    <t>se han realizado las 2 reuniones retroalimentación con la SMD</t>
  </si>
  <si>
    <t>indicadores subidos en la plataforma y el Análisis de los mismos</t>
  </si>
  <si>
    <t>revisión y probación de ajustes por parte de planeación UNGRD</t>
  </si>
  <si>
    <t>revisión y aprobación de ajustes por parte de planeación UNGRD</t>
  </si>
  <si>
    <t>Se consolidaron los comentarios de APC y Cancilleria y se enviaron para aprobación fianl del documento. Se incorporó el proceso de cooperación itnernacional en el docuemnto.</t>
  </si>
  <si>
    <t>Este evento no fue priorizado por austeridad en el gasto por parte de la alta dirección</t>
  </si>
  <si>
    <t>Se firmo el Convenio Marco con la Fuerza Aérea Colombiana.</t>
  </si>
  <si>
    <t>La Carta de Entendimiento UNGRD - OXFAM se extendió hasta el año 2018.</t>
  </si>
  <si>
    <t>Hay Planes de Acción en cosntrucción con organizaciones: OFDA- OXFAM - PMA y con los países: Peru, Ecuador, Argentina. Universidad de Manizales y Sector Privado.</t>
  </si>
  <si>
    <t>Se capacitarón 11 personas en los eventos: 
a) Misión evaluadora del Gobierno de la República de Panamá sobre el estado de la Reducción del Riesgo de Desastres en el país.
b) Tercer Foro Latinoamericano sobre Experiencias en la aplicacion de Incidentes.
c) Seminario Uso de la Tecnología para la Prevención de Desastres y Desarrollo Sostenible.
d) “Reunión Anual del Grupo Directivo del GRUPO ASESOR INTERNACIONAL DE OPERACIONES DE BUSQUEDA Y RESCATE (INSARAG)"
e)  III Conferencia Mundial para la Reducción del Riesgo de Desastres.
f) Ejercicio de Emergencia Relativa al Riesgo Químico</t>
  </si>
  <si>
    <t>Se esta formulando conjuntamente con JICA el  proyecto dea poyo para el Museo Interactivo en el Departamento del Quindío.</t>
  </si>
  <si>
    <t>Donación del PMA de 7 toneladas de azúcar refinada para el Departaamento de Santander.</t>
  </si>
  <si>
    <t>Asistió el Director General de la UNGRD. Se aprobó el Marco de Sendai  para la Reducción de Desastres 2015 - 2030.</t>
  </si>
  <si>
    <t>UNISRD asumió los costos de los panelistas.</t>
  </si>
  <si>
    <t>Foro de intercambio de experiencias en IDRL
Foro de intercambio de experiencias Naciones Unidas</t>
  </si>
  <si>
    <t>Participación en 6 eventos</t>
  </si>
  <si>
    <t>Se enviaron comentarios del estatuto aduanero a la DIAN y se han entregado insumos para el ICA, INVIMA y Migración Colombia</t>
  </si>
  <si>
    <t>Se identificó la buena práctica del Centro Nacional Logístico, que se encuentra en proceso de sistematización.</t>
  </si>
  <si>
    <t>Visitas de intercambio de experiencias a nivel de buenas prácticas:  Foro de experiencias IDRL, Intercambio de experiencias en Gestión del Riesgo y Ordenamiento Territorial</t>
  </si>
  <si>
    <t>Se elaboraron falta el cierre de eficacia</t>
  </si>
  <si>
    <t>Si.</t>
  </si>
  <si>
    <t>si</t>
  </si>
  <si>
    <t>Se inicio el proceso de ajuste del manual haciendo un evision de los aspectos a modificar y se distribuyo el trabajo entre los involucrados en la tarea</t>
  </si>
  <si>
    <t>Aunque la modificación no se dio en el mes de febrero, la meta se establece para el 18 de mazro de 2015</t>
  </si>
  <si>
    <t>Se preparo la nomina de los meses de enero y febrero</t>
  </si>
  <si>
    <t>las novedades fueron incluidas en los reportes de nomina de enero y febrero</t>
  </si>
  <si>
    <t>Se afiliaron x contratistas de la UNGRD a la ARL</t>
  </si>
  <si>
    <t>Se hicieron 2 reportes donde se evidencia que a 8 personas se les activo la cuenta en el SIGEP</t>
  </si>
  <si>
    <t>Se hicieron 2 reportes donde se evidencia que se dieron de baja a 12 funcionarios ya que son Contratistas y aparecian como Empelados Publicos</t>
  </si>
  <si>
    <t>Se hizo un reporte el 18 de febrero donde se evidencia que 36 funcionarios no han actualizado la HV en el SIGEP de 100 que debian hacerlo</t>
  </si>
  <si>
    <t>Se hicieron 2 reportes correspondientes a enero y febrero</t>
  </si>
  <si>
    <t>Se hicieron 2 reportes correspondientes a enero y febrero, donde se indica que se han expedido 65 tkts para funcionarios de la UNGRD</t>
  </si>
  <si>
    <t>Se hicieron 2 reportes correspondientes a enero y febrero, donde se indica que se han expedido 23 tkts para contratistas de la UNGRD</t>
  </si>
  <si>
    <t>Se hicieron 2 reportes correspondientes a enero y febrero, donde se indica que se han expedido 143 tkts para funcionarios a traves del FNGRD</t>
  </si>
  <si>
    <t xml:space="preserve">Implementar el Plan de bienestar Social de la UNGRD desde el componente de  Proteccion y Servicios Sociales </t>
  </si>
  <si>
    <t xml:space="preserve">Realizar el seguimiento a la ejecución presupuestal del componente de  Proteccion y Servicios Sociales </t>
  </si>
  <si>
    <t>Realizar el seguimiento a la ejecución presupuestal del componente de Calidad de vida Laboral</t>
  </si>
  <si>
    <t xml:space="preserve">Laura Amado </t>
  </si>
  <si>
    <t>Se realizo el documento</t>
  </si>
  <si>
    <t>Actualizacion de procedimientos y documentacion del Proceso de Talento Humano</t>
  </si>
  <si>
    <t xml:space="preserve">procedimientos </t>
  </si>
  <si>
    <t>No. De procedimientos actualizados</t>
  </si>
  <si>
    <t>Actualizacion publicada en neogestion</t>
  </si>
  <si>
    <t>NO</t>
  </si>
  <si>
    <t>El Subdirector fue nombrado el 04 de Febrero por lo cual no se pudieron podido coordinar las reuniones</t>
  </si>
  <si>
    <t>N/A          (59'160.000 del presupuesto del año pasado)</t>
  </si>
  <si>
    <t>N/A</t>
  </si>
  <si>
    <t xml:space="preserve">Se han  construido  dos módulos de formación que han sido revisados y aprobados por la UNGRD    La Firma MPL a entregado Plan de Acción, Módulo No 1 finalizado con diseño, módulo No 2 revisado y aprobado por la UNGR, </t>
  </si>
  <si>
    <t xml:space="preserve">Las revisiones de los documentos  por parte de la UNGRD se han tomado más tiempo del esperado debido a las dinámicas propias de las subdirecciones. </t>
  </si>
  <si>
    <t>Se realizó reunión mensual</t>
  </si>
  <si>
    <t>Acercamiento con 25 Entidades de las cuales 10 han culminado el proceso de validación: CAR´S, MINVIVIENDA, MINTRANSPORTE, MINAMBIENTE, MINDEFENSA, MINCULTURA, MINEDUCACION, SGC, DIMAR, INVEMAR</t>
  </si>
  <si>
    <t>Realizar un proceso de Sensibilización con los funcionarios de la entidad que ejercen el rol de supervisor contractual, a fin de recordar los compromisos adquiridos al ejercer tal rol. Asimismo, se debe realizar capacitaciones a los funcionarios de la UNGRD respecto de las modalidades de selección del contratista y lo lo realitivo a la etapa precontractual, contractual y postcontractual, cumpliendo con los lineamientos señalados en la Ley 80, Ley 1150, Decreto 1510 de 2013, Ley 1474, así como aquellas leyes que resulten pertinentes, aplicables y aquellas que deroguen, sustituyan o modifiquen a las anteriormente señaladas</t>
  </si>
  <si>
    <t>En promedio se atienden 250 casos por mes de acurso se procesan a asatisfacción</t>
  </si>
  <si>
    <t>Se estan realizando los estudios previcios, se recibieron las cotizaciones y en abril se realiza la licitación</t>
  </si>
  <si>
    <t xml:space="preserve">El contrato se encuenta en licitación, se subieron los pliegos a Colombia Compra el viernes 20 de marzo, se adjudica el 20 de abril </t>
  </si>
  <si>
    <t>Todos los equipor que se han solicitado se han instalado y configurado a los nuevos contratistas y funcionarios de la UNGRD</t>
  </si>
  <si>
    <t>Este contrato salio a licitación en Colombia Compra el día 24 de marzo de 2015, se adjudica el 20 de abril.</t>
  </si>
  <si>
    <t>En el momento hay 444 cuentas configuradas y en funcionamiento.</t>
  </si>
  <si>
    <t>Se tienen el estudio de mercado, se estan realizando los estudios previos para tener la licitación lista la primera semana de abril</t>
  </si>
  <si>
    <t>Se solicitar correr la fecha hasta el mes de mayo.</t>
  </si>
  <si>
    <t>Se solicita correr la fecha de cumplimiento hasta el mes de julio</t>
  </si>
  <si>
    <t>En el momento se realiza la supervición de 6 contratos: Canales de Internet, Colocation, Correo a traves de Google apps, alquiler de equipos de computo y dos profesionales de soporte</t>
  </si>
  <si>
    <t>Se realiza un seguimiento a diriario sobre la actualización de los servidores que manejas la infraestructura tecnologica de la entidad.</t>
  </si>
  <si>
    <t>Se realizan la copias incrementales de lunes a viernes de la información del servidor de archivos de la dirección.</t>
  </si>
  <si>
    <t>Se realizo la copia mensual de toda la información del servidor de archivos a un disco externo.</t>
  </si>
  <si>
    <t>Se realiza el monitoreo de la red y servidores diariamente.</t>
  </si>
  <si>
    <t>Se verifica la conección de las maquinas en caso de presentarse fallos o por solicitud del usuario.</t>
  </si>
  <si>
    <t>Por la herramienta webb suministrada por el proveedor se verifica la funcionalidad de los canales de internet.</t>
  </si>
  <si>
    <t>Se administra la configuración de todos los correos a traves del administrador de google y se realizan las copias de los usuarios que ya no estan en la entidad.</t>
  </si>
  <si>
    <t>Se ha realizado el informe mensualme¿nte sobre el funcionamiento o novedades de la res inalambrica</t>
  </si>
  <si>
    <t>Se ha realizado el informe mensual a traves del administrador PCSecure.</t>
  </si>
  <si>
    <t>Se realiza la configuración de la tarjeta y huella de los nuevos funcionarios y contratistas de la Entidad</t>
  </si>
  <si>
    <t>Se esta diseñando la metodologia y el material de apoyo para las jornadas de socialización</t>
  </si>
  <si>
    <t>Se esta diseñando la estrategía</t>
  </si>
  <si>
    <t xml:space="preserve">Se recibieron y revisaron 52  estudios y documentos previos  para la contratación de bienes, servicios y obras para la UNGRD. </t>
  </si>
  <si>
    <t>Se ha realizado la elaboracion de 52 contratos en el primer bimestre.</t>
  </si>
  <si>
    <t>Se han aprobado garantias para 52 contratos.</t>
  </si>
  <si>
    <t>Se han elaborado 52 actas de designación de supervisores.</t>
  </si>
  <si>
    <t>Estan realizado los planes de mejoramiento</t>
  </si>
  <si>
    <t>Se realizo, aprobo y socializo la estrategia de rendición de cuentas para el año 2015. Diagnostico de la rendición de cuentas del año 2014. Acutalización del procedimiento para la estrategia de la rendición de cuentas. Se formulo el plan de avción para el cumplimiento y seguimiento de la estrategia de rendición de cuentas</t>
  </si>
  <si>
    <t xml:space="preserve">De acuerdo al concepto del DAFP de agosto de 2014 la UNGRD no tiene tramites, sin embargo considero que presenta otros procesos administrativos  </t>
  </si>
  <si>
    <t>Juan Mafla</t>
  </si>
  <si>
    <t>Carmen Chávez
Daimi Lindo</t>
  </si>
  <si>
    <t>Dar respuesta a los requerimientos de los Entes de Control (Congreso de la República, Contraloría General de la Nación, Procuraduría General de la Nación)</t>
  </si>
  <si>
    <t>Documentos de seguimiento a la implementacion del nuevo Decreto de gobierno en linea (decreto 2573 del 12 de dic de 2015)</t>
  </si>
  <si>
    <t>Avance en el componente GEL - TIC para servicios (Plan Sectorial)</t>
  </si>
  <si>
    <t>Avance en el componente GEL - TIC para el Gobierno abierto  (Plan Sectorial)</t>
  </si>
  <si>
    <t>Avance en el componente GEL - TIC para la Gestión  (Plan Sectorial)</t>
  </si>
  <si>
    <t>Avance en el componente GEL -Seguridad y privacidad de la Información  (Plan Sectorial)</t>
  </si>
  <si>
    <t>Porcentaje de avance del componente GEL - TIC para servicios</t>
  </si>
  <si>
    <t>Porcentaje de avance en el componente GEL -Seguridad y privacidad de la Información</t>
  </si>
  <si>
    <t>Porcentaje de avance en el componente GEL - TIC para la Gestión</t>
  </si>
  <si>
    <t>Porcentaje de avance encomponente GEL - TIC para el Gobierno abierto</t>
  </si>
  <si>
    <t>% LOGRO A ABRIL</t>
  </si>
  <si>
    <t>% CUMPLIMIENTO PA A ABRIL</t>
  </si>
  <si>
    <t>Acompañamiento al taller nacional de “La Gestión del Riesgo de Desastres en la planificación e inversión pública en Colombia, un enfoque sectorial”, en el cual se identificaron temas que harán parte de la agenda con Salud, Agua Potable y Saneamiento Básico y Hacienda.
Se han realizado mesas de trabajo con Agricultura, Transporte y Vivienda, el resultado consiste en la identificación de metas, plazos y fuente de financiación de los proyectos que hacen parte del PNGRD.</t>
  </si>
  <si>
    <t>El tema sectorial depende de los lineamientos que establezca la Subdirección General y aún no se han definido tales orientaciones</t>
  </si>
  <si>
    <t>Se está elaborando un Diagnostico de avance en la incorporación de procesos 
de Reducción del Riesgo en los sectores: sectores Agua y saneamiento Básico, Transporte, Educación y Agricultura</t>
  </si>
  <si>
    <t>Se adelantó documento propuesta de estrategia para la incorporación de sectores en el Comité Nacional de Reducción del Riesgo. Entregado (el 03/03/2015).</t>
  </si>
  <si>
    <t>Marzo: Elaborado Plan de Trabajo a partir de las agendas de las comisiones técnicas asesoras.</t>
  </si>
  <si>
    <t>Marzo: Validado el Plan de Trabajo en sesión ordinaria de la CTA RRD  del 11/03/2015. Aprobado el Plan de Trabajo en sesión ordinaria del Comité Nacional para la Reducción del Riesgo del 24/03/2015.</t>
  </si>
  <si>
    <t>Marzo: Elaborado y validado el Plan de Trabajo en sesión ordinaria de la CNARIT  del 19/03/2015. Aprobado el Plan de Trabajo en sesión ordinaria del Comité Nacional para la Reducción del Riesgo del 24/03/2015.</t>
  </si>
  <si>
    <t xml:space="preserve">Discusiones con MinCultura; MinEducación; MinTransporte; MinVivienda, INVEMAR; MinAmbiente -ASOCARS; SGC; MinHacienda; MinSalud; MinDefensa; MinComercio; Colciencias. </t>
  </si>
  <si>
    <t>Se realizó reunión con la Oficina Asesora de Planeación en la cual se estableció el procedimiento de gestión de la información.
Se generó matriz con la información requerida para cada una de las líneas de la Subdirección de Reducción del Riesgo con interés en información de las entidades del sistema.
De acuerdo con los compromisos generados con la OAPI, se adelantó:
Generación (actualización) de Matriz con la información a solicitar a las entidades del SNIGRD, y entidades particulares.
Concertar con la Subdirección de Conocimiento la Información a solicitar y anexar en la matriz de solicitud.
Cruzar la información existente en la UNIDAD con la matriz de información a solicitar (planchas 1:25000).
Generar Memorando de solicitud de información definitiva a solicitar</t>
  </si>
  <si>
    <t>Se generó matriz con la información a solicitaral IGAC en escalas 1:25.000 y 1:10.000 requerida para la línea de intervención prospectiva para los 68 municipios priorizados dentro del PND.
Se recibió por parte del grupo de Asistencia Técnica la información documental y cartográfica de los municipios de Guarne, Marinilla, Santuario, La Ceja, El Retiro del departamento de Antioquia; Baranoa, Galapa, Juan de Acosta, Malambo, Palmar de Varela, Polonuevo, Sabanagrande, Santo Tomás y Tubará del departamento de Atlántico; Chinchina, Neira, Palestina, Villa Maria del Departamento de Caldas; y Cerrito y Guararí del Departamento del Valle, municipios priorizados . Esta información se encuentra en proceso de organización y verificación del estado de la calidad de la misma.</t>
  </si>
  <si>
    <t>Se inició el documento de estandarización de la información alfanumérica y vectorial requerida en la línea de intervención prospectiva para implementar en la Base de datos geográfica de la UNGRD.</t>
  </si>
  <si>
    <t>A enero 1 de 2015 se tenía programado un presupuesto de  $ 4.230.544.156 para adquisición de predios (valor comprometido a diciembre 31 de 2014  $ 3.396.542.974 +  $ 834.001.182 saldo sin comprometer de las cuentas 2701 y 270602). La ejecución de enero a abril relacionada corresponde al 34% ($ 1.450.702.448) del presupuesto programado para el 2015</t>
  </si>
  <si>
    <t>No se dispone de los recursos económicos necesarios para adquirir los predios de conformidad con la priorización establecida en las resolución 1347 de 2014</t>
  </si>
  <si>
    <t>El PGIR - AVG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seguimiento a compensaciones. Las cuales se resumen a continuación:
     - Área Económica Productiva = 37 (Referentes a gestiones realizadas sobre el trámite de compensaciones económicas y de Valor Único Complementario VUC, asesorías en formación y capacitación para el ingreso al SENA – Regional Nariño de usuarios ZAVA y asistencia en proyectos productivos)
- Área de Desarrollo Comunitario Social = 49 (Referente a acompañamiento psicosocial a las unidades sociales para el proceso de reasentamiento, atenciones a consulta sobre el estado del proceso de compra de predios y acompañamiento psicofamiliar a las unidades sociales reasentadas)
- Área de Habitabilidad y Medio Ambiente = 17 (Asesorías frente al estado de los predios en proceso de adquisición por orden judicial y consultas jurídicas sobre el procedimiento para compra- venta de predios)
Para un Total de 103 Familias con acompañamiento</t>
  </si>
  <si>
    <t xml:space="preserve">.- Se esta adelantando el proceso para la adjudicación del contrato de demoliciones, de acuerdo al cronograma establecido, se espera para el mes de Mayo adjudicar.
- En el momento que inicie la ejecución del contrato de demoliciones e interventora se medirá porcentualmente el respectivo avance.  </t>
  </si>
  <si>
    <t>Los proyectos reportados que finalizaron en el periodo contemplado entre marzo y abril de 2015 son los siguientes: Marzo 2015 Convenio suscrito con la Gobernación del Quindío que contemplaba intervención a sitios críticos de  tres tramos, Puente López - Honda, y Abril 2015  Pamplonita - Norte de Santander.</t>
  </si>
  <si>
    <t>Se prorrogaron los siguientes proyectos: Hatillo de Loba III nueva fecha de finalización 21 de Mayo de 2015, Convenio Bucaramanga - Santander nueva fecha de finalización 17 de mayo de 2015, Convenio Nariño Ospina nueva fecha de finalización 30 de Mayo 2015, Tarazá Antioquia Nueva Fecha de finalización 15 de Mayo 2015, Nechí Antioquia Nueva Fecha de finalización 3 de Mayo 2015, Ayapel Córdoba Nueva Fecha de finalización 15 de Junio de 2015, Convenio Car Laguna Fuquene Nueva Fecha de Finalización 1 de Julio 2015.</t>
  </si>
  <si>
    <t>Se desarrolla un formato para la consolidación de proyectos de vivienda y se continua actualizando la matriz de consolidación para los proyectos de vivienda que son radicados ante la UNGRD, adicionalmente se está investigando  la existencia de proyectos de vivienda radicados y su procedimiento desde la radicación del proyecto hasta su evaluación.</t>
  </si>
  <si>
    <t>Se recibieron Trece (13) solicitudes de asesorías técnicas las cuales fueron atendidas,dando cumplimiento a los terminos establecido.</t>
  </si>
  <si>
    <t xml:space="preserve">Durante los meses de Marzo y Abril de 2015 se actualizo semanalmente la matriz, consignando todas las acciones adelantadas de los proyectos que se encuentran en estructuración, ejecución y en liquidación. </t>
  </si>
  <si>
    <t>Se logró la liquidación del convenio 9677-04-1117-2013 con el municipio de Pijiño del Carmen el 15 de abril del 2015</t>
  </si>
  <si>
    <t>Demoras de los municipios con las firmas de liquidación</t>
  </si>
  <si>
    <t>Desde el 1 de Enero de 2015 al 30 de Abril de 2015 se han recibido a traves del SIGOB 115 Solicitudes de Evaluacion de proyectos, de los cuales a la fecha se han evaluado 33.
En promedio se esta recibiendo 1,5 proyectos por dia habil, teniendo en cuenta la carga de proyectos del año anterior y las demas responsabilidades de la linea de acción.</t>
  </si>
  <si>
    <t>Se poyaron los proceso conforme a la demanda presentada a la SRR, se atendieron 42 solicitudes técnicas de entidades territoriales para las cuales se destinó un total de 25:30 horas, adicionalmente se apoyaron los procesos de SIBRU Y Honda (Río Gualí).
SIBRU: Se han adelantado reuniones y visitas con IDIGER, DIGER, IDU y Acueducto para la determinación de los predios que se van a utilizar como escenario del simulacro. Adicionalmente se realizaron visitas con acompañamiento de experto en explosivos, con la finalidad de determinar cómo se va a desarrollar el proceso en los escenarios seleccionados.
HONDA: Se adelantó acompañamiento a William Tayo en el proceso Rio Guali, y se adelantó la verificación del pacto de cumplimiento.</t>
  </si>
  <si>
    <t xml:space="preserve">Se remitio propuesta a la OAPI del procedimiento de priorización, para las respectivas observaciones y ajustes que se consideren. </t>
  </si>
  <si>
    <t>Se cirlulo el documento borrador que contiene la estructuración de la Guia y Check list de los aspectos técnicos, juridicos y financieros de proyectos de vivienda. 
Fue aprobada la tabla de contenido de la GUÍA. Se desarrollaron los capítulos introductorios de la guía, y se realizó consulta a ministerio de vivienda y FONADE, en cuanto a los documentos y aspectos normativos vigentes que rigen la supervisión, interventoría, desembolso de recursos y constructor.</t>
  </si>
  <si>
    <t xml:space="preserve">Se realizaron las gestiones con la Universidad de Manizales, con quien nos asociaremos para el desarrollo de la estrategia a través de un tesista que realizará investigaciones y se desarrollará un estudio de caso sobre la implementación de obras de Bioingenieria en el país.   Así mismo se ha revisado experiencias de implementación de obras de Bioingenieria en el país. </t>
  </si>
  <si>
    <t>Gestiones en cabeza de Cooperación Internacional para la suscripción del convenio con Universidad de Manizales</t>
  </si>
  <si>
    <t>Este mes se adelantó la elaboración de los Estudios previos para la suscripción del convenio de Bioingeniería con la Alcaldía de Popayán en cabeza del CMGRD y la Empresa de Acueducto y Alcantarillado de Popayán S.A., a quienes se les envió el 12 de marzo la versión preliminar para el acuerdo de las obligaciones que cumplirán cada una de las partes.
El día de 6 de Abril se tuvo conocimiento que la AAPSA participará en el convenio con un aporte de cofinanciación de 47" Millones de Pesos COP.
Adicionalmente se han adelantado gestiones vía correo electrónico con una frecuencia de dos correos por semana para el cumplimiento de los compromisos acordados durante la última visita a la Ciudad de Popayán. Se ha brindado asesoría técnica para la presentación de la formulación del proyecto que sería el sustento técnico de las obras a implementar en el marco del convenio en comento.
Se informa por parte de CMGRD y AAPSA la necesidad de establecer una forma de pago dentro del convenio que permita transferir los recursos de una manera eficiente a la AAPSA, quien sera la encargada de ejecurtarlos incluyendo la interventoría.</t>
  </si>
  <si>
    <t>Incumplimiento por parte del CMGRD de Popayán para los compromisos acordados</t>
  </si>
  <si>
    <t xml:space="preserve">Por solicitud de la Oficina Asesora de Cooperación de la UNGRD se elaboró  documento de Insumos para texto para discurso del Director General de la Unidad Nacional para la Gestión de del Riesgo de Desastres para el Lanzamiento de Delta Coalition, evento  que se llevó a cabo en el marco de la Conferencia Mundial de Reducción del Riesgo de Desastres llevada a cabo en Sendai – Japón del 14 al 18 de marzo de 2015.
Por solicitud de  la Oficina Asesora de Cooperación de la UNGRD  y con destino al Departamento de la Prosperidad Social y la Cancillería para consolidar documento para Resolución ONU –HABITAT  se elaboraron y enviaron dos documentos: 1 Reducción de los riesgos de desastres para garantizar la equidad y reducir la pobreza, 2. Síntesis que explica la relación entre la Gestión del Riesgo y la Planificación territorial para la reducción de la pobreza y la inequidad.   </t>
  </si>
  <si>
    <t>Se atendieron dentro de los términos legales, las solicitudes realizadas por entidades públicas del orden local y nacional; personas naturales y jurídicas; entes territoriales: municipios, distritos y departamentos.
MARZO: 27 Solicitudes.
ABRIL: 28 Solicitudes.</t>
  </si>
  <si>
    <t>En atención a solicitudes CEI-COT se elaboraron, consolidaron y enviaron al DNP-CEI-COT propuesta de ajustes o complementaciones UNGRD:
1. Matriz de análisis normativo, instancias, instrumentos y competencias de entidades nacionales, regionales y locales respecto del ordenamiento territorial y de sus relación con la gestión del riesgo, la adaptación al cambio climático, el manejo del recurso hídrico, la gestión del suelo y la vivienda, la infraestructura vial, el sistema de áreas protegidas, la biodiversidad, los recursos naturales y los servicios ecosistémicos, el patrimonio  cultural, lo minero-energético, lo agropecuario y el desarrollo rural, los territorios colectivos y los resguardos indígenas, las zonas de frontera y  el espacio oceánico y las  zonas costeras como insumo para la formulación de la Política General de Ordenamiento Territorial  -PGOT.
2. Documento técnico con observaciones UNGRD al documento MVCT /CEI-COT “Documento técnico base para el desarrollo normativo del numeral 2 del artículo 29 de la ley 1454 de 2011. Forma y alcances del ordenamiento territorial departamental”: Planes de Ordenamiento Territorial Departamental - POD.</t>
  </si>
  <si>
    <t xml:space="preserve">Durante el mes de marzo se tienen los siguientes avances:
1. Presentación a la subdirección  de conocimiento y  Subdirección general  de la estructura  de la  Guía de integración de la gestión del riesgo en el Ordenamiento Territorial Municipal. 
2. Construcción de cuadro matriz  acciones para la  integración de la gestión del riesgo de desastres  en el ordenamiento Territorial Municipal.
3. Revisión  de la estructura de la  Guía Municipal de integración de la gestión del riesgo en el Ordenamiento Territorial con el fin de  validarla. 
4. Revisión y ajuste de los  capítulos 1,  2 y 3  de la Guía de integración de la gestión del riesgo en el Ordenamiento Territorial Municipal.
Durante el mes de abril se tienen los siguientes avances:
1. Definición de la acciones de integración de la gestión del Riesgo de Desastres en el Ordenamiento Territorial.
2. Definición  de la información cartográfica requerida para la guía de integración de la GRD  en el OT municipal.
3. Reunión con la subdirección de Conocimiento para  articular trabajo sobre el capítulo 4 de la Guía de integración de la GRD en OT.
4.  Revisión y ajuste de los  capítulos 3, 4, 5 y 6  de la Guía de integración de la gestión del riesgo en el Ordenamiento Territorial Municipal </t>
  </si>
  <si>
    <t>Las actividades de organización se desarrollaran entre julio y agosto; y en octubre se tiene programada la realización del evento, teniendo en cuenta que se celebrará el Mes de la Reducción del Riesgo.</t>
  </si>
  <si>
    <t xml:space="preserve">Durante el mes de marzo se tienen los siguientes avances:
1. Redacción y compilación de las observaciones realizadas a la  Guía del DNP para formulación de planes de desarrollo 2012-2015  y preparación de  nuevos contenidos  de gestión del riesgo para la nueva guía 2015-2019.
2. Elaboración del documento sobre GESTIÓN DEL RIESGO DE DESASTRES en el que se explica el Qué? Por qué? Y para qué? sobre la GRD  para ser utilizado en las capacitaciones de la ESAP - DNP a los precandidatos a Alcaldías, Gobernaciones, Concejos y Asambleas del país. 
Durante el mes de Abril  se lograron los siguientes avances: 
1. Reunión con la subdirección de desarrollo territorial del DNP para hablar sobre los aportes hechos a la Guía para formulación de planes de desarrollo 2012-2015.
2.  Apoyo a sesión ESAP - DNP en donde el Subdirector General en conferencia para formadores a precandidatos a Alcaldías, Gobernaciones y Corporaciones Públicas, prenet el SNGRD y documento sobre GESTIÓN DEL RIESGO DE DESASTRES en el que se explica el Qué? Por qué? Y para qué? sobre la GRD  para ser utilizado en las capacitaciones de la ESAP - DNP a los precandidatos a Alcaldías, Gobernaciones, Concejos y Asambleas del país. </t>
  </si>
  <si>
    <t xml:space="preserve">1. Asistencia a comités técnicos.   
2. Asistencia  mesas técnicas  de  apoyo para para  revisión y ajuste de documentos de diagnósticos entregados en el mes de enero por Gobernación y Alcaldía. 
3. En el marco del seguimiento técnico, administrativo y financiero, Cancillería y UNGRD llevaron  a cabo auditoría financiera y administrativa para identificar y corregir falencias en torno a la gestión financiera, contractual, administrativa  y de manejo de información  del Convenio 
 4. En enero se reportó la elaboración de estructura de informe de gestión por parte de operadores del Convenio (Gobernación y Alcaldía) y entidades con responsabilidad de producto, dicha estructura fue aprobada por el Comité Técnico del Convenio (marzo), quedando pendiente la entrega de informes parciales de cada entidad para consolidación por parte de UNGRD.
5. Se dio inicio a la elaboración de informe de gestión del Convenio, con estructura aprobada por el Comité técnico la cual recoge  informe da cada una de las entidades que hacen parte del Convenio. </t>
  </si>
  <si>
    <t xml:space="preserve">Conforme se reportó desde el mes de enero de 2015 la elaboración de productos del Convenio ha sufrido retrasos por: 
1.  Falta de capacidad técnica y administrativa  de los operadores del Convenio (Gobernación del Archipiélago de San Andrés - Alcaldía de Providencia y Santa  Catalina) 
2. Incumplimiento en la entrega de productos de entidades participes del Convenio ( IGAC, Ministerio Interior, INCODER)  
Lo anterior se está corrigiendo mediante apoyo técnico a Gobernación y Alcaldía y oficios UNGRD-Cancillería como supervisores del Convenio  solicitando a entidades responsables de productos  el cumplimiento de obligaciones contractuales (en marzo  IGAC  hizo entrega de producto)  
 3 Incumplimiento en la entrega de informes de gestión de IGAC, Coralina e INCODER  </t>
  </si>
  <si>
    <t xml:space="preserve">Convenio que continua de 2014, se envía oficio UNGRD 01042 del 26 de marzo de 2015 sobre solicitud de envío urgente de documentos para proceso de liquidación Convenio y de productos finales del Estudio. Convenio No 9677-04-1132-2013 FNGRD- Fiduprevisora y  Municipio de La Florida – Nariño: Formulación EOT La Florida.
Se realizó Visita de Supervisión  al Municipio de La Florida los días 27, 28 y 29 de abril en donde se verificaron  los contenidos de documentos que se remitirán a la UNGRD de acuerdo con solicitud del oficio UNGRD 01042 del 26 de marzo de 2015 (envío de documentos para proceso de liquidación Convenio), de revisar conjuntamente con la Administración Municipal y CORPONARIÑO los alcances de observaciones de dicha Corporación para con el EOT y de revisar compromisos de ajuste y tiempos de envío y de nueva redacción por parte de la Alcaldía
El informe de Supervisión se realizará en mayo de 2015. </t>
  </si>
  <si>
    <t>Se está a la espera de envío por parte de la Alcaldía de La Florida de documentos finales para liquidación (de gestión y producto radicado a Corponariño), se requiere adelantar visita de Supervisión  para verificar documentos por radicar a  CORPONARIÑO</t>
  </si>
  <si>
    <t>Los Talleres  se adelantarán en el mes de diciembre de 2015 una vez se haya construido la línea base, y se desarrollen los lineamientos que serán socializados en estos talleres.</t>
  </si>
  <si>
    <t>1. Respecto a la información recopilada por municipios, se obtuvo información de Planes de Ordenamiento Territorial , Planes Municipales de Gestión del Riesgo, Planes Municipales de Desarrollo, y otros instrumentos de planificación (POMCA, Planes de Acción, otros) de  34 municipios así:
• ANTIOQUIA 4
• ATLANTICO 7
• BOLIVAR 3
• BOYACA 8
• CALDAS 3
• MAGDALENA 2
• NORTE DE SANTANDER    3
• QUINDIO 0
• RISARALDA 2
• VALLE DEL CAUCA 2
2.Respecto a la elaboración del documento que consolidará los diagnósticos de línea base se han adelantado reuniones y comités con los municipios en los  meses de marzo y abril de esta manera: 
a) 8 Talleres departamentales en Antioquia, Caldas, Risaralda, Quindío, Bolívar Atlántico, Magdalena, Boyacá, Norte de Santander, Valle del Cauca, en los que asistieron 160 personas y las siguientes entidades:
• Coordinador Departamental Gestión del Riesgo UDGRD y CDGRD 
• Corporaciones Autónomas Regionales
• Secretarías Departamentales de Planeación, de Educación, de Vivienda
• Procuraduría Regional
• Universidad de Pamplona, Universidad del Norte
• IGAC, DANE, SENA, ECOPETROL,Gases de Occidente.
b) 33 Talleres Municipales en los que asistieron en total 144 personas y las siguientes entidades
• Coordinadores municipales de Gestión del Riesgo 
• Funcionarios de las Secretarías municipales de Planeación ,Gobierno, Educación, Salud, Protección Social y dependencias como Control Urbano, Desarrollo Social, Medio Ambiente, Infraestructura
• Corporaciones Autónomas Regionales
• Bomberos, Cruz Roja, Defensa Civil, Personería, Policía Nacional 
• Representantes del Concejo Municipal, 
• Consultores para el proceso de revisión y ajuste PBOT de los municipios.
• Universidad Juan de Castellanos (Boyacá)</t>
  </si>
  <si>
    <t>.- Se han presentado dificultades para adelantar las reuniones de acercamiento, debido a cambios  que las entidades territoriales han realizado en las agendas concertadas.
- Así mismo, se presenta dificultades en la recopilación de información debido a que las entidades territoriales no disponen de la misma en el momento de realizar las reuniones de acercamiento.
- A partir de la forma en que se ha desarrollado la fase de insumos e información, ha sido necesario hacer ajustes en la metodologia formulada y precisar el programa de trabajo planteado, con el equipo de asistencia.</t>
  </si>
  <si>
    <t>Se elaboraran los documentos de Lineamientos a partir del mes de agosto a noviembre  de 2015.</t>
  </si>
  <si>
    <t>Se continua con la Etapa de estudio y analisis normativo.</t>
  </si>
  <si>
    <t>Se concertó con la Universidad Nacional los productos a elaborar en el marco del Convenio de Asociación entre DEPARTAMENTO DE GEOGRAFÍA DE LA UNIVERSIDAD NACIONAL DE COLOMBIA y FNGRD.
Se concertó el valor de los aportes del FNGRD para el  Convenio por un valor de $75,000,000</t>
  </si>
  <si>
    <t>Aun el DEPARTAMENTO DE GEOGRAFÍA DE LA UNIVERSIDAD NACIONAL DE COLOMBIA no ha definido el valor del aporte al Convenio.</t>
  </si>
  <si>
    <t>Se realizó Comité PNACC los días 12 y 27 de Marzo con el fin de revisar las Metas Plan de Desarrollo 2015-2018 asociadas a Adaptación al Cambio Climático. Así mismo, se está revisando fecha de lanzamiento oficial del documento del PNACC liderado por DNP y MADS.
Asistencia el 6 de Marzo a la Mesa Nacional de Adaptación en articulación con el PNACC en la ciudad de Cali.
Asistencia a la Reunión Interinstitucional para la formulación del Plan Integral de Cambio Climático de Boyacá convocado por el CDGRD Boyacá. Marzo17
Asistencia a Reunión en UPME con el fin de revisar el costo beneficio de las medidas de adaptación para el sector energético como insumo al Plan de Adaptación al CC del sector. Abril 28
 Reunión junto con DNP y MADS, en MVCT para articular proceso de ajuste de los POT, y su “impacto” esperado sobre el desarrollo territorial para la incorporación de Cambio Climático. Abril 28</t>
  </si>
  <si>
    <t xml:space="preserve">Se realiza mensualmente seguimiento a los Convenios a través de Comités Técnicos.
- Convenio No. 9677-04-1047-2013(Sistema de Alerta Temprana ante eventos climáticos extremos en la cuenca de los ríos Zulia y Pamplonita. Departamento de Norte de Santander): Se solicitó el 20 de Abril elaboración de Otro sí al Grupo de Contratación de la UNGRD con relación a valor y forma de desembolsos por parte del Municipio de Riohacha para agilizar primer desembolso a la Fundación CREACUA.
- Convenio No. 9677-04-898-2013 (Adaptación Urbana "Verde" frente a Inundaciones con el soporte de la Modelación Matemática y del Software MODCEL en Riohacha-La Guajira) : En  2015  se han instalado 2 estaciones hidrológicas para un total de 10 estaciones.
Se elaboró el informe de seguimiento de los convenios supervisados atendiendo la programación de la actividad. </t>
  </si>
  <si>
    <t>El municipio de Riohacha tiene un retraso del primer desembolso ($48,000,000) pese a las gestiones de la UNGRD. Se ha presentado dificultad  por parte del Municipio de Riohacha en la  falta de legalización del predio donde se realizará la Obra Piloto "Cancha Inundable".
Por parte de la OCI se realiza acompañamiento administrativo.</t>
  </si>
  <si>
    <t>Desde el 20 de Febrero, fecha de inicio del Contrato de Prestación de Servicios No. 9677-PPAL001-029-2015, se realizan reuniones semanales de seguimiento para dar cumplimiento a la Primera Etapa de Arquitectura y Preproducción del Contrato. El dia 10 de Abril se realizo desembolso del 40%, dando alcance a las obligaciones del contrato.</t>
  </si>
  <si>
    <t xml:space="preserve">Durante el mes de Marzo se acompañó técnicamente: 
1, Diseño del Sistema de Indicadores para la Adaptación al Cambio Climático en Colombia: Durante el mes de Marzo se  apoyó en la revisión de proyectos de ACC y experiencias nacionales propuestas por el consultor de CTCN para iniciar la primera etapa de Diagnóstico para el Diseño del Sistema de Indicadores para la ACC en Colombia.
2, Proceso de construcción de la posición país para las Negociaciones de Cambio Climático en Diciembre de 2015 en París (Articulado con el Marco de Acción de Sendai 2015-2030): se apoyó en  la construcción de la propuesta de Objetivo Global de Adaptación (propuesta de la UNGRD)   
Durante el mes de Abril se acompañó técnicamente: 
1. Reunión con consultor (Javier Blanco)  del proceso del Diseño del Sistema de Indicadores para la ACC en Colombia y el Ing. Richard Vargas para conocer indicadores de GRD que aporten a éste proceso liderado por MADS. (Abril 7) y Acompañamiento en I Taller para el  Diseño del Sistema de Indicadores para la Adaptación al Cambio Climático liderado por MADS con apoyo técnico de DNP, IDEAM y UNGRD. (Abril 22)
2. Se hizo la revisión de objetivos globales para las Negociaciones de Cambio Climático en Diciembre de 2015 en París
3. Se participó en varias reuniones con OIM para compartir avances de la Guía en construcción sobre Migración y Cambio Climático desarrollada por OIM. </t>
  </si>
  <si>
    <t>1. Se dio respuesta al oficio enviado por el Alcalde Santa Cruz de Lorica donde solicitan  acompañamiento para conformar  de una Comisión Técnica para el mantenimiento del sistema hidráulico del Municipio. Marzo 13
2. Revisión de temas a trabajar desde la Línea de Variabilidad y Cambio Climático con Universidad de Manizales a través del  Plan de Acción 2015. Marzo 12
3. Reunión con docente de la Universidad de Los Andes sobre consultoría sobre desplazamiento por cambio climático para la OIM.  Marzo 11</t>
  </si>
  <si>
    <t>Revisión de antecedentes nacionales sobre reasentamiento, para estructurar el proceso de identificación de variables sociales. Para esto se diseñó una matriz para consolidar información documental relacionada.</t>
  </si>
  <si>
    <t>Actualmente se espera la aprobación de las mesas regionales sobre reasentamiento por parte de la Dirección General, razón por la cual no se ha avanzado en la planificación de estos eventos.</t>
  </si>
  <si>
    <t>Se acompañó a la Confederación Nacional de Acción Comunal en taller sobre gestión del riesgo con la Comisión Nacional Pedagógica, en Bogotá</t>
  </si>
  <si>
    <t>Se preparó propuesta de ruta para la participación y fortalecimiento comunitario en el marco del Simulacro Binacional por erupción de los volcanes Chiles y Cerro Negro. Se avanzó en la revisión documental sobre procesos de participación comunitaria en la gestión del riesgo de desastres.</t>
  </si>
  <si>
    <t>Se han realizado 3 reuniones internas de la Mesa de Enfoque Diferencial y de Género (10 y 24 de Marzo y 7 de Abril de 2015) en las cuales se ha estructurado la primera mesa de trabajo interinstitucional sobre discapacidad y gestión del riesgo.</t>
  </si>
  <si>
    <t>Actualmente se espera la aprobación del Director General para convocar a entidades y organizaciones del orden nacional para mesas interinstitucionales.</t>
  </si>
  <si>
    <t>Se prepararon los Términos de Referencia para la realización de los talleres regionales de experiencias comunitarias en gestión del riesgo.  El Director solicitó revisar con otras dependencias de la UNGRD como integrar estos procesos para optimizar recursos teniendo en cuenta la directiva de austeridad de gasto.</t>
  </si>
  <si>
    <t>Actualmente se espera la aprobación por parte de la Dirección General</t>
  </si>
  <si>
    <t>Se entregaron términos de referencia para la conmemoración del Mes de la Reducción del Riesgo y para la realización del Concurso Nacional de Reducción del Riesgo de Desastres.</t>
  </si>
  <si>
    <t>Actualmente se espera la aprobación por parte de la Dirección General.</t>
  </si>
  <si>
    <t>Actualización 1, el 03/03/2015, sobre GdR y POT; Actualización 2, el 20/03/2015, sobre reunión de la CNARIT; Actualización 3, el 26/03/2015, sobre la reunión del Comité Nacional; Actualización 4, el 31/03/2015, sobre noticia de protección financiera.
 Actualización 5, el 17/04/2015, sobre reunión CTA RRD; Actualización 6, el 17/04/2015, sobre revisión avances apoyo técnico para la incorporación de la GdRD en los POT; Actualización 7, el 30/04/2015, sobre experiencia exitosa de ACC en Santander.</t>
  </si>
  <si>
    <t>Se llevó a discusión y aprobación del Comité Nacional para la Reducción del Riesgo la conformación de una mesa de trabajo para el tema de Protección Financiera. Fue aprobada la conformación y el plan de trabajo, que comprende: i) Seguimiento y recomendaciones técnicas sobre proceso de reglamentación del FNGRD (Subcuentas de Reducción del Riesgo y de Protección Financiera) y ii) Apoyo para el desarrollo de un esquema de protección financiera para la nación y los territorios. De otra parte, se validó con el MHCP el componente programático del PNGRD, acotando la responsabilidad que en el marco de éste le compete al ministerio. Se envío oficio a la Viceministra General del MHCP para que designe funcionarios que conformarán la mesa de trabajo en Protección Financiera, por parte del Ministerio</t>
  </si>
  <si>
    <t>Se pospone la presentación de Faecolda a los miembros del Comité Directivo para el mes de junio. Dos temas: i) Intercambio de información enre el sector asegurador y la UNGRD y, ii) Protocolo de actuación Ajustadores en la ocurrencia de un evento catastrófico.</t>
  </si>
  <si>
    <t>Se presentó a la Subdirectora de Reducción el documento actualizado, con la incorporación de las observaciones dadas en febrero por ella y el análisis sugerido por el Subdirector General. Adicionalmente, se aprovechó el espacio que ofreció la asistencia técnica en la sesión realizada el 18 de marzo en Rionegro-Antioquia, sede CORNARE para iniciar la socialización de la protección financiera ante desastres, enfatizando el tema de aseguramiento de bienes inmuebles públicos. Se entregó a la Subdirección General el documento borrador final para revisión, aprobación y posterior publicación. Se actualizó el directorio de CDGRD para iniciar logística para socialización del documento.</t>
  </si>
  <si>
    <t xml:space="preserve">
Durante el mes de Abril de 2015 se realizaron dos sesiones de trabajo conjuntas con la OAPI, para la identificación de los riegos de Corrupción de la SRR, el día 29 de Abril de 2015 se remite la matriz de identificación vía correo electrónico a la OAPI.
</t>
  </si>
  <si>
    <t>No se requirió ninguna elaboración de plan de mejoramiento.</t>
  </si>
  <si>
    <t xml:space="preserve">Se realizó el seguimiento a los planes de mejoramiento que se encuentran actualmente bajo la competencia de la SRR, los cuales fueron reportados a la OCI mediante correo electrónico el día 28 de Abril y se citan a continuación:
• Isnos: se dio cierre al hallazgo mediante el cumplimiento de la acción propuesta, la cual era la realización de un acta de entrega del proyecto.
• PGIR-AVG: se realizaron ajustes al seguimiento reportado desde el PGIR-AVG, especificando el estado de la gestión del proyecto de Inversión.  
• PNC: se reporta la convocatoria a mesa de trabajo de acuerdo a las indicaciones dadas por la Subdirección General.
• Evaluación Política Publica: Se remitieron los soportes de las acciones desarrolladas para dar cierre definitivo a los hallazgos que se encuentran con las acciones ejecutadas al 100%, y se informa del estado de la gestión adelantada del proyecto de inversión para el PGIR-AVG
</t>
  </si>
  <si>
    <t xml:space="preserve">El dia 30 de Marzo y 30 de Abril se asistió a las reuniones mensuales de lideres SIPLAG. </t>
  </si>
  <si>
    <t>Los dias 9 de Marzo y 14 de Abril se realizaron reuniones mensuales con los lideres de la SRR, con la finalidad de socializar los temas tratados en las reuniones mensuales SIPLAG.</t>
  </si>
  <si>
    <t>Se realizó el cargue de los indicadores mensuales para el proceso de GRR, los cuales se pueden verificar en la Plataforma NEOGESTION.</t>
  </si>
  <si>
    <t>Durante el mes de Abril de 2015 se realizaron dos sesiones de trabajo conjuntas con la OAPI, para la identificación de los riegos por proceso de la SRR, el día 29 de Abril de 2015 se remite la matriz de identificación vía correo electrónico a la OAPI.</t>
  </si>
  <si>
    <t>Orientar la formulación de proyectos  contenidos en los Planes Departamentales de Gestión del Riesgo</t>
  </si>
  <si>
    <r>
      <t xml:space="preserve">   </t>
    </r>
    <r>
      <rPr>
        <sz val="10"/>
        <rFont val="Arial"/>
        <family val="2"/>
      </rPr>
      <t>Demanda</t>
    </r>
  </si>
  <si>
    <t>No.  De reuniones y/o de documentos elaborados</t>
  </si>
  <si>
    <t>Lista de asistecia y/o documentos</t>
  </si>
  <si>
    <t>Incorporación de los sectores  Min Ambiente, Min Educación y MINTIC (a nivel de direcciones o subdirecciones) a la Comisión Técnica Nacional Asesora para el Conocimiento del Riesgo</t>
  </si>
  <si>
    <t>Actas de reunión</t>
  </si>
  <si>
    <t xml:space="preserve">Convocar y coordinar al Comité Nacional para el Conocimiento del Riesgo 
</t>
  </si>
  <si>
    <t>Apoyo a la oficina de planeación en la construcción del sistema nacional de Información en gestión del riesgo</t>
  </si>
  <si>
    <r>
      <t xml:space="preserve">No. </t>
    </r>
    <r>
      <rPr>
        <sz val="10"/>
        <color rgb="FF00B050"/>
        <rFont val="Arial"/>
        <family val="2"/>
      </rPr>
      <t xml:space="preserve"> </t>
    </r>
    <r>
      <rPr>
        <sz val="10"/>
        <rFont val="Arial"/>
        <family val="2"/>
      </rPr>
      <t>Reuniones</t>
    </r>
  </si>
  <si>
    <t>Todos</t>
  </si>
  <si>
    <t xml:space="preserve">Apoyar en la elaboración de un Documento que presente los elementos  conceptuales, alcance y decisiones sobre todas las variables contenidas en el Artículo 42 de la Ley 1523 y la relación entre las mismas. 
</t>
  </si>
  <si>
    <t>No. Documentos elaborados</t>
  </si>
  <si>
    <t>Daniel Pardo</t>
  </si>
  <si>
    <t>Realizar una retroalimentación del proceso de reaglamentación del articulo 42 de la Ley 1523 con algunas de las Comisiones de cada uno de los procesos de Gestión del Riesgo de Desastres</t>
  </si>
  <si>
    <t>Diseñar una propuesta de política e insumos para la reglamentación del artículo 42 de la Ley 1523 luego de efectuar la respectiva retroalimentación</t>
  </si>
  <si>
    <t>Propuesta de Politica</t>
  </si>
  <si>
    <t>No. De propuestas</t>
  </si>
  <si>
    <t>No. De reuniones</t>
  </si>
  <si>
    <t>Listas de asistencia</t>
  </si>
  <si>
    <r>
      <t>Asesoría técnica a entidades territoriales y entidades nacionales</t>
    </r>
    <r>
      <rPr>
        <b/>
        <sz val="10"/>
        <color indexed="8"/>
        <rFont val="Arial"/>
        <family val="2"/>
      </rPr>
      <t xml:space="preserve"> </t>
    </r>
    <r>
      <rPr>
        <sz val="10"/>
        <color theme="1"/>
        <rFont val="Arial"/>
        <family val="2"/>
      </rPr>
      <t>en el  fortalecimiento del proceso de conocimiento de l riesgo.</t>
    </r>
  </si>
  <si>
    <t>Elaboración de documentos de caracterización  general de escenarios de riesgo</t>
  </si>
  <si>
    <t xml:space="preserve">Julio González
Joana Perez
Profesional por contratar
Nathalia Contreras
</t>
  </si>
  <si>
    <t>Ejecución de estudios especifícos de Amenaza, exposición, vulnerabilidad y/o riesgo.</t>
  </si>
  <si>
    <t>Julio González, 
 Nathalia Contreras,
Marcela Guerrero, Joana Perez, Profesional por Contratar, Amaury Arroyo.</t>
  </si>
  <si>
    <t>Seguimiento a convenios contratados en vigencias anteriores.</t>
  </si>
  <si>
    <t xml:space="preserve">Actividades de seguimiento </t>
  </si>
  <si>
    <t xml:space="preserve">Acompañamiento en la elaboración de la  Guía de Integración del Riesgo en el Ordenamiento Territorial Municipal.. Esta Guía se elaborara de forma conjunta con la SRR </t>
  </si>
  <si>
    <t>Realización de encuentros de actores y/o instituciones que generan conocimiento de riesgo.</t>
  </si>
  <si>
    <t>Encuentro</t>
  </si>
  <si>
    <t>No. De encuentros</t>
  </si>
  <si>
    <t>Alberto Granes</t>
  </si>
  <si>
    <t>Actas de encuentros</t>
  </si>
  <si>
    <t>Participación en el Comité Especial Interinstitucional de la Comisión de Ordenamiento Territorial (CEICOT)</t>
  </si>
  <si>
    <t>Subdirector de Conocimiento</t>
  </si>
  <si>
    <t>Implementación de un Sistema piloto de Monitoreo para eventos de Avenidas Torrenciales.</t>
  </si>
  <si>
    <t>Sistema implementado</t>
  </si>
  <si>
    <t>Guia metodologica</t>
  </si>
  <si>
    <t>Julio Gonzales</t>
  </si>
  <si>
    <t>Sistema Implementado y Guía realizada</t>
  </si>
  <si>
    <t>Johanna Orjuela</t>
  </si>
  <si>
    <t xml:space="preserve">Elaboración de un  mapa conceptual de las acciones científicas que las intituciones de educación superior y centros de investigación esten desarrollando en materia de Conocimiento del Riesgo </t>
  </si>
  <si>
    <t xml:space="preserve">1 Documento </t>
  </si>
  <si>
    <t>Mapa</t>
  </si>
  <si>
    <t xml:space="preserve">Módulos de formación en Gestión del Riesgo dirigidos a tomadores de decisión. </t>
  </si>
  <si>
    <t xml:space="preserve">Apoyo a parque interactivo (Quindío) para la propuesta sobre concientización sobre el riesgo  </t>
  </si>
  <si>
    <t>Implemetación del paque Interactivo: 1ra Etapa (evento sísmico)</t>
  </si>
  <si>
    <t xml:space="preserve">Elementos instalados </t>
  </si>
  <si>
    <t>Material fotográfico implementación primera fase.</t>
  </si>
  <si>
    <t>Acompañamiento a la  Mesa SENA en Gestión del Riesgo y Mesa de Educación en Emergencias.</t>
  </si>
  <si>
    <t>Por damanda</t>
  </si>
  <si>
    <t xml:space="preserve">No. de reuniones </t>
  </si>
  <si>
    <t>Convocar y desarrollar las reuniones de la Comisión Nacional Asesora para la Investigación en Gestión del Riesgo, promoviendo la articulación entre el SNGRD, SINA, SNCTI</t>
  </si>
  <si>
    <t>Número de reuniones  de la Comisión Nacional de Investigación</t>
  </si>
  <si>
    <t>Establecer convenios con Universidades y/o centros de investigación para el fortaleciomiento del Conocimiento del Riesgo de desastres</t>
  </si>
  <si>
    <t>Reuniones y/o convenios firmados</t>
  </si>
  <si>
    <t>Actas de reunion y/o convenios firmados</t>
  </si>
  <si>
    <t xml:space="preserve">Fortalecimiento de proyectos de investigación a universidades y/o entidades estatales </t>
  </si>
  <si>
    <t xml:space="preserve">Reuniones,  Eventos y/o Documentos </t>
  </si>
  <si>
    <t>Realizar un inventario de necesidades y proyectos de tecnologías de información para la vigencia 2015</t>
  </si>
  <si>
    <t>Seguimiento a la lista de chequeo implementación de la Ley  1712 de 2014</t>
  </si>
  <si>
    <t>Porcentaje de implementación Ley 1712 de 2014</t>
  </si>
  <si>
    <t>Patricia Arenas</t>
  </si>
  <si>
    <t>Lista de chequeo implementación de la Ley  1712 de 2014</t>
  </si>
  <si>
    <t>Reportes de seguimientos efectuados por Min Tic</t>
  </si>
  <si>
    <t xml:space="preserve">%CUMPLIMIENTO PA A ABRIL </t>
  </si>
  <si>
    <t>No se ha solicitado apoyo por parte de la oficina de planeación</t>
  </si>
  <si>
    <t>Identificación de los actores que están ontenidos en el Artículo 42</t>
  </si>
  <si>
    <t>Se empezó a trabajar el 26 de Mayo por la disponibilidad de personal encargado del tema</t>
  </si>
  <si>
    <t>Esta actividad requiere del insumo técnico (Documento para la reglametación)</t>
  </si>
  <si>
    <t>Se asistió a la primera reunión de actualización de PNC.</t>
  </si>
  <si>
    <t>Participación en el evento conmemorativo a la celebración del día de la tierra mediante un taller para periodistas sobre comunicación y Gestión del Riesgo    
Desarrollo de presentación sobre educación y gestión del Riesgo dirigido a alcaldes, docentes y comunidad en general</t>
  </si>
  <si>
    <t>Se ha estado trabajando en los documentos de caracterización.</t>
  </si>
  <si>
    <t>Se firmó el acta de inicio.
El 28 de abril se realizará el Primer Comité Técnico del Convenio en Villarrica.
Todo se ha realizado de la manera correcto</t>
  </si>
  <si>
    <t>Gestionar el desembolso del FNGRD. Falta un documento de Cortolima
Realizar la visita de campo</t>
  </si>
  <si>
    <t>Se han reportado los avances y consolidado .</t>
  </si>
  <si>
    <t>Existen proyectos que se han cancelado .</t>
  </si>
  <si>
    <t>No se ha solicitado la participación de la Subdirección</t>
  </si>
  <si>
    <t>Se inscribió proyecto de inversión a  DNP con la asesoría de la OAPI.</t>
  </si>
  <si>
    <t>El  Proyecto fue devuelto para cambios.</t>
  </si>
  <si>
    <t>Consolidación de la información</t>
  </si>
  <si>
    <t>Se  realizaron los modulos según cronograma.</t>
  </si>
  <si>
    <t xml:space="preserve">El proyecto se encuentra en proceso de discusión y revisión. </t>
  </si>
  <si>
    <t>Aun no hay fechas ya que no hay una propuesta construida por parte del la Gobernación,</t>
  </si>
  <si>
    <t>Se  asistió a la mesa según la convocatoria</t>
  </si>
  <si>
    <t>Se acordó la realización de un Diplomado en Gestión del Riesgo,  un observatorio de Conocimiento del Riesgo y convenios con Universidades</t>
  </si>
  <si>
    <t>No participaron activamente las instituciones estatales</t>
  </si>
  <si>
    <t>Acercamiento con la Universidad Santo Tomás (Carta de Intención)</t>
  </si>
  <si>
    <t>El avance ser realizó hasta mayo debido a que el plan tuvo que ser modificado y esto implicó reuniones con la Subdirección General y el traspaso de un hallazgo a la SRR</t>
  </si>
  <si>
    <t xml:space="preserve"> A la reunión de Marzo no se asistió </t>
  </si>
  <si>
    <t>Se realizó la retrolaimentación de la reunión de Abril</t>
  </si>
  <si>
    <t>No  se retroalimentó  marzo ya que no se asistió a la reunión de líderes</t>
  </si>
  <si>
    <t>Se esta consolidadno la información para el seguimiento ya que los indicaores se actualizaron en abril.</t>
  </si>
  <si>
    <t>Se ha trabajado con la asesor+ia de la OAPI en la actualización</t>
  </si>
  <si>
    <t>% DEL LOGRO A ABRIL</t>
  </si>
  <si>
    <t>%CUMPLIMIENTO PA A ABRIL</t>
  </si>
  <si>
    <t xml:space="preserve">%CUMPLIMIENTO PA A ABRIL  </t>
  </si>
  <si>
    <t>31 de marzo: Se llevó a cabo reunión en las instalaciones del BM, con presencia de todo el equipo. En dicha reunión se determinaron de manera general los perfiles de las personas que integrarán el equipo de trabajo para dar inicio a la reglamentación correspondiente.                                   17 de abril: Se realizó reunión en la instalaciones del BM, con el equipo de trabajo. En dicha reunión se determinaron de manera definitiva los perfiles del equipo de trabajo y se estableció que el BM se encargaría de adelantar los términos de referencia para dar inicio al proceso de contratación respectivo. De igual manera, se acordó que las reuniones con la UNGRD, DNP, Min Hacienda y BM, se harían de acuerdo con el avance del equipo en la reglamentación</t>
  </si>
  <si>
    <t>1. Se dio respuesta a la solicitud  realizada por la Señora Claudia Guerrero Sanchez Directora Inspección Vigilancia y Control de Coldeportes con referencia a la vigencia y aplicabilidad del Decreto 3888 de 2007                                                                                    2.  Contestación a la OAPI sobre la coherencia jurídica entre los Decretos 2711 y 2712 del 26 de Diciembre de 2014 y el Decreto 282 de 2015, así como la choherencia jurídica entre el Decreto 282 de 2015 y la ejecución de recursos y cumplimiento de los objetivos del FNGRD según Ley 1523 de 2012</t>
  </si>
  <si>
    <t>Resoliciones:  465, 469, 512, 392 además de ello Se revisa resolucion proyectada por Javier Cañon Por la cual aprueba y se ordena realizar el trámite de pago de la ayuda humanitaria establecida en la Resolución 074 de 2011, en aplicación de lo dispuesto en los artículos tercero y séptimo de la Resolución No. 840 de 2014, en cumplimiento de la Sentencia T-648 de 2013. Se proyecta la Resolucuón 453 del 20 de abril niega el apoyo económico al municipio de Talaigua Nuevo y se realiza Acto administrativo del proyecto de resolución del Mintic.</t>
  </si>
  <si>
    <t xml:space="preserve">acta del comité de conciliación en donde se expuso la necesidad de adoptar la politica de daño antijurídico. Los miembros del comité entendieron la necesidad de adoptarla y dieron visto bueno para que con apoyo de todas las entidades se construya. </t>
  </si>
  <si>
    <t>Se ha dado respuesta a cada una de las peticiones y consultas remitidas a la Oficina Asesora Jurídica, en donde se evidenciaron 43 derechos de petición los cuales se contestaron en tiempo.</t>
  </si>
  <si>
    <t xml:space="preserve">Se da respuesta a cada una de las acciones judiciales en contra de la UNGRD dentro de los terminos legales </t>
  </si>
  <si>
    <t>Se validarón las acciones que se realizaron a cada uno de los hallazgos con el Jefe de la Oficina Asesora Jurídica y queda pendiente la actualizacion del Normograma y Caracterización de la OAJ</t>
  </si>
  <si>
    <t>Uno de los hallazgos encontrados no ha sido posible darle tramite desde la plataforma NEOGETION, pero se deja evidenciado en cuadro de excel y otro hallazgo lo remiten sin ser competencia de la OAJ</t>
  </si>
  <si>
    <t xml:space="preserve">Se ha realizado seguimiento a los planes de mejoramiento y ahora se realiza seguimiento a los cambios realizados para la aprobacion de la nueva versión </t>
  </si>
  <si>
    <t>Se a asistido a las diferentes reuniones de los líderes SIPLAG a excepción del mes de Abril ya que la líder no se encontraba en la entidad</t>
  </si>
  <si>
    <t>Se ha realizado la retroalimentación en la Oficina Asesora Jurídica con la participación de todos los Abogados, Jefe y Secretaria de la OAJ</t>
  </si>
  <si>
    <t>Las diferentes audiencias a las que tienen que asistir los Abogados de la OAJ</t>
  </si>
  <si>
    <t>De los tres (3) indicadores formulados por la OAJ se realizó el cargue de dos (2) ya que para el último indicador hace falta el envio de información por parte de los Abogados de la OAJ</t>
  </si>
  <si>
    <t>Demora en el envio de información para realizar el cargue del indicador de Consultas o Requerimientos</t>
  </si>
  <si>
    <t>Se remitió a la Oficina Asesora de Planeación el memorando OAJ-M-83-2015 donde ratifican el mapa de riesgos por procesos</t>
  </si>
  <si>
    <t>Se remitió a la Oficina Asesora de Planeación el memorando OAJ-M-83-2015 donde ratifican el mapa de riesgos por de corrupción</t>
  </si>
  <si>
    <t>Agenda Establecida</t>
  </si>
  <si>
    <t>Por las emergencias presentadas, fue necesario aplazar el desarrollo de la agenda</t>
  </si>
  <si>
    <t>priorizados sectorores y avalados por la Comisión, en el marco de la revisión del documento para discusión de la ENRE</t>
  </si>
  <si>
    <t>Se han convocado 3 y realizado3 reuniones del comité</t>
  </si>
  <si>
    <t>Se han realizado 11 reuniones con representantes  de la Comisión</t>
  </si>
  <si>
    <t>Aprobadaa a través de correo electronico</t>
  </si>
  <si>
    <t>NO se ha convocado a esta reunión, por parte del responsable directo</t>
  </si>
  <si>
    <t>Se cuenta con los insumos de manejo de desastres, Actividad en proceso de elaboración, identificacion de elementos claves para la arquitectura del articulo. modulo manejo de desastres, pendiente remitir subdirección general</t>
  </si>
  <si>
    <t>NO se ha convocado a esta reunión de coordinación, por parte del responsable directo</t>
  </si>
  <si>
    <t>La Subdirección general UNGRD, cito a reunión de trabajo para conformar equipo técnico para la reglamentacion del art. 42 y realizacion de reunión equipo tecnico.</t>
  </si>
  <si>
    <t>No se ha presentado a la Comisión Tecnica, está dentro del proceso como una actividad posterior.</t>
  </si>
  <si>
    <t>Pendiente se susrtir las actividades anteriores</t>
  </si>
  <si>
    <t>Revisión por parte de los integrantes del SNGRD, de las Comisiones Tecnicas, pendiente realizar ajustes de las recomendaciones al documento y presentar para aval</t>
  </si>
  <si>
    <t>se realizó socialización a las comisiones tecnicas de Conocimiento, Reducción y Manejo de Desastres, así mismo se habilitó un microsito para el público en general y se realizó mas de80 invitaciones formales al os integrantes del SNGRD</t>
  </si>
  <si>
    <t xml:space="preserve">De acuerdo a los lineamientos determinados en el proceso de formulación de la ENRE, se cuenta con la estrategia especifica ante erupción volcanica y sismo pendiente elaboración instrumento de articulación entre el local, departamental y nacional para Cerro Machín y Galeras </t>
  </si>
  <si>
    <t>no se ha inicido el proceso</t>
  </si>
  <si>
    <t>determinacion de las obligaciones especifica para contratar la prestación de servicios profesionales.
Pendiente reunión Subdirección General</t>
  </si>
  <si>
    <t>se participó de reunion de coordinación de riesgos tecnologicos, pendiente citnacion Min minas y energia y se entrego metodologia para elaboración del plan</t>
  </si>
  <si>
    <t>pendiente directrices de min Minas y energia</t>
  </si>
  <si>
    <t>Se solicitó a Planeación UNGRD el ajuste a la actividad así: Realizar propuesta para convenios y/o contratos para el fortalecimiento del Centro Nacional de Logística.
proceso de convenios adelantados 40%</t>
  </si>
  <si>
    <t>Se están analizando las propuestas de los departamentos que han manifestado necesidades de telecomunicaciones.</t>
  </si>
  <si>
    <t>Se está analizando solicitud de CDGRD Boyacá para atender necesidades de Sala de crisis.</t>
  </si>
  <si>
    <t>Se encuentra en estudio de mercado y en elaboración de los Estudios Previso y Análisis del sector.</t>
  </si>
  <si>
    <t>Pendiente presentar la actualización a la SMD y a la UNGRD</t>
  </si>
  <si>
    <t>se encuentra realizando el proceso Precontractual(Estudio de mercado, analisis de Sector y estudios previos)</t>
  </si>
  <si>
    <t>En proceso de revisión de las necesidades de comunidades o municipios que requieren atención en SAT.</t>
  </si>
  <si>
    <t>En organización del simulacro el cual se encuentra preparado previsto de ejecutarse, en le mes de octubre</t>
  </si>
  <si>
    <t>no reposa soporte de las reuniones de gestión ni avances del modelo de capacitación</t>
  </si>
  <si>
    <t>esta actividad se desarrolla por demanda</t>
  </si>
  <si>
    <t>se encuentran atendiendo en el municipio de Salgar- Antioquia</t>
  </si>
  <si>
    <t>se han atendido los solicitudes realizadas, verificar el  VISOR -UNGRD y soporte en le servidor de la UNGRD</t>
  </si>
  <si>
    <t>Se cuenta con todos los reportes diarios de las intervenciones realizadas, en el servidor con acceso directo</t>
  </si>
  <si>
    <t>0'%</t>
  </si>
  <si>
    <t>FEDEGAN contrató al proveedor del suplemento bovino (caña ensilada), por valor de $2.650 millones de pesos, de los cuales ya se hizo el primer desembolso al proveedor por 50% del contrato del suplemento por la suma $1.315 millones de pesos que equivalen al 65,14% del primer desembolso del convenio (50% que corresponden a $2.015 millones de pesos). los dias 23 y 24 de abril se realizo la primer entrega piloto en el municipio de Tenjo Cundinamarca, en el cual se atendieron 270 beneficiarios, 2700 bolsas de alimento para un total de 135 toneladas de alimento (caña ensilada de azúcar).fedegan reporta a la fecha gastos bancarios por un valor de $5´255,221 . Entrega en los municipios de chiriguaná y la jagua de ibirico 29 y 30 de abril del 2015, 465 ganaderos atendidos, 4650 bolsas de alimento para un total de 232,5 toneladas de suplemento.</t>
  </si>
  <si>
    <t>Este proyecto fue remitido a la Subdirecci´´on de Reducción del Riesgo por solicitud del Director General de la UNGRD, desde el 17 de abril de 2015</t>
  </si>
  <si>
    <t>Entrega de 8 pozos Santa Marta ( Tejares del lbertador, Boulevar de las Rosas, Línea Ferrea Gaira, Boulevar del Río, Garagoa, Cancha Sena ,Corpamag, SENA Tomografía 2)
La Guajira: pozo Siapana en adecuación, levantamiento topográfico por arte del ejercito nacional, para posteriormente realizar el diseño de red hidráulica.
Proyecto de unidad productivas 26 pozos(incidir, gobernación y UNGRD) y 20 pozos nuevo proyectos (Min Agricultura -UNGRD)
Cauca -Mercades: se realizó trnaferencia económica por 80 millones en marzo y se realizó solicitud de avance  contractual y de obra.</t>
  </si>
  <si>
    <t>Se encuentran en proceso de perfeccionamiento en FIDUPREVISORA los contratos tanto de obra como de interventoría.</t>
  </si>
  <si>
    <t>A la fecha se podría decir que la actividad tiene un 30% de avance aproximadamente
Lo anterior, dado que esta actividad depende de Reducción, que ha tenido limitaciones a la fecha
La obligación adquirida desde 2009 fue dar unas viviendas en Puerto Libertador – Córdoba
Se está gestionando un nuevo convenio 
Actualmente, no hay transición de alojamientos temporales a viviendas definitivas</t>
  </si>
  <si>
    <t>actualizacndo con los ultimos ocntratos</t>
  </si>
  <si>
    <t>pendiente respuesta por parte de  la Oficina de Contro interno del seguimiento realizado</t>
  </si>
  <si>
    <t>se ha asistido a las reuniones mensuales, citadas por parte de planeación UNGRD y se cuenta como soporte las actas y listado de asistencia a las mismas</t>
  </si>
  <si>
    <t>se han realizado las 4 reuniones retroalimentación con la SMD y los soportes respectivos en el servidor</t>
  </si>
  <si>
    <t>pendiente retroalimentación por parte de Palneación UNGRD</t>
  </si>
  <si>
    <t>Se consolida borrador final del PECI 2015 - 2018, con los aportes de cada una de las áreas técnicas de la UNGRD y de APC y Cancillería. Se somete a revisión y aprobación del Director General.</t>
  </si>
  <si>
    <t xml:space="preserve">Se capacitarón 41 personas en los eventos: 
a) Ejercicio de Emergencia Relativa al Riesgo Quimico.
b) Capacitación de ingreso de Colombia al International Charter.
c) Taller para la seleccion de zonas de intervencion con riesgos asociados al cambio climático.
d) Taller de formación en recuperación temprana .
</t>
  </si>
  <si>
    <t xml:space="preserve">Hay 5 proyectos formulados y 4 aprobados, los cuales son financiados por cooperantes internacionales como JICA y ECHO:        
a) Fortalecer las capacidades de la instituciones educativas y la comunidad para que las escuelas se conviertan en espacios protectores y espacios protegidos para los niños.
b) Fortalecimieno de la resiliencia del sector agropecuario en Colombia mediante la implementación de una estrategia de Gestión del Riesgo Agroclimatica y su potencial aplicación en distintos niveles territoriales.
c) Fortalecimiento de la resilencia de las comunidades rurales en el departamento de la Guajira, mejorando las capacidades institucionales en manejo de desastres y reducción del riesgo, Colombia.
d) Asistencia en emergencia en salud y agua, a comunidades afectadas por la sequia en comunidades rurales en las municipalidades de Manaure y Uribia en el departamento de la Guajira, Colombia .
e) Museo interactivo en gestión del riesgo de desastres del Departamento del Quindío.                                                                                    </t>
  </si>
  <si>
    <t>a) Taller Nacional: La Gestión del Riesgo de Desastres en la planificación e inversión pública en Colombia, un enfoque diferencial
b) Capacitación de ingreso de Colombia al International Charter.
C) I Reunión binacional Colombia - Peru en Gestión del Riesgo de Desastres.
d) Seminario: la Gestión del Riesgo en la planeación urbana y el ordenamiento territorial JICA-DNP-IGAC</t>
  </si>
  <si>
    <t xml:space="preserve">Participación en 4 eventos:
a) Ejercicio de Emergencia Relativa al Riesgo Quimico
b) Entrega Oficial apoyo de Gobierno de Colombia a Gobierno de Chile a las Emergencias por inundaciones.
C) Taller Regional Contruyendo capacidades para el aumento de la Inversion Pública.
d) Taller Implementación de Normativa para Facilitar la Operaciones de Asistencia Humanitaria Internacional.
</t>
  </si>
  <si>
    <t>Recibimos el documento de INVIMA acerca de los Protocolo de actuación en situaciones de emergencia por parte de dicha entidad.</t>
  </si>
  <si>
    <t>I Encuentro Binacional Colombia - Perú en Gestión del Riesgo de Desastres.</t>
  </si>
  <si>
    <t>No se ha cumplido con el cronograma establecido, dado que el PECI debía tomar como referentes ciertos documentos que aún se encuentran en debate y en proceso de formulación (Plan Nacional de Desarrollo y nueva política nacional de Cooperación Internacional).</t>
  </si>
  <si>
    <t>Depende de la firma  y suscripción del PECI, por lo cual no se ha procedido a realizar esta actividad.</t>
  </si>
  <si>
    <t>Este evento no fue priorizado por austeridad en el gasto por parte de la alta Dirección General</t>
  </si>
  <si>
    <t>Se están realizando los planes de mejora.</t>
  </si>
  <si>
    <t>Se elaboraron.</t>
  </si>
  <si>
    <t>Se enviaron mapas de riesgos a OAPI.</t>
  </si>
  <si>
    <t>Falta el cierre de eficacia.</t>
  </si>
  <si>
    <t>Al documento existente se le hará un diseño y se socializará internamente</t>
  </si>
  <si>
    <t>Boletín Sistema al Día edición mes de marzo y abril.</t>
  </si>
  <si>
    <t>Actualización constante de base de datos para envío de comunicaciones masivas.</t>
  </si>
  <si>
    <t xml:space="preserve">Conmemoración 3 años  sanción de la Ley 1523 de 2012. Creación SNGRD.
- 2 boletines externos Sistema al día para difusión al interior de las entidades. </t>
  </si>
  <si>
    <t>Formulación de estudios previos con el apoyo del equipo de Contratación para la firma del convenio con  la Corporación Maloka.</t>
  </si>
  <si>
    <t>TODOS LOS GUIONES DE LAS 4 PRIMERAS CAMPAÑAS FUERON APROBADOS POR LAS PARTES. Y YA SE DIO LA GRABACIÓN DEL PRIMER COMERCIAL</t>
  </si>
  <si>
    <t>Recolección de testimonios en:
- Tenjo, Cundinamarca, entrega de suplemento de ganado.
- Entregas de ayudas en Santander por sismo del 10 de marzo.</t>
  </si>
  <si>
    <t>426 actualizaciones en Facebook, Twitter, YouTube y Flickr.</t>
  </si>
  <si>
    <t>Se realizaron 2 micrositios linkeados a la página:
- Temporada de lluvias recomendaciones.
- Medidas de prevención ante sismos.</t>
  </si>
  <si>
    <t>No se ha avanzado en este tema puesto que por temas conyunturales (emergencias) se ha postergado su realización.</t>
  </si>
  <si>
    <t>60 monitoreos de medios que se realizan a diario.</t>
  </si>
  <si>
    <t>34 comunicados de prensa emitidos y compartidos de manera masiva.</t>
  </si>
  <si>
    <t>Informe especial de Asitencia Técnica.</t>
  </si>
  <si>
    <t>1 rueda de prensa tras el sismo del 19 de marzo.</t>
  </si>
  <si>
    <t>Formulación de estudios previos para la firma del convenio.</t>
  </si>
  <si>
    <t xml:space="preserve">Se realizarion las siguientes 3 campañas:
-Campaña Ecosiplag
-Campaña Servicio al Cliente
- Campaña del Centro de Documentación.
</t>
  </si>
  <si>
    <t>2 boletines Unidad Express correspondiente a los meses de marzo y abril.</t>
  </si>
  <si>
    <t>En los rotafolios durante el segundo bimestre se públicó: mes en imágenes marzo y abril; 2 videos de acciones de la UNGRD en Colombia y 1 conmemoración 3 años Ley 1523.</t>
  </si>
  <si>
    <t>Formulación de estudios previos.</t>
  </si>
  <si>
    <t>Durante marzo y abril se crearon 50 carpetas en donde se almacenan 1174 fotografias y videos.</t>
  </si>
  <si>
    <t>Comercial de actualización Santander.</t>
  </si>
  <si>
    <t xml:space="preserve">Se realizaron 2 videos del mes en imágenes correspondientes a marzo y abril.  </t>
  </si>
  <si>
    <t>Proceso transferido al Grupo de Apoyo Administrativo</t>
  </si>
  <si>
    <t>Se encuentra en proceso de edición.</t>
  </si>
  <si>
    <t>Pendiente de realización por temas conyunturales que lo han postergado.</t>
  </si>
  <si>
    <t>Se realiza acompañamiento a 20 participantes del mapeo de Información de Corpoguavio y Corpoguajira.</t>
  </si>
  <si>
    <t>96 actualizaciones disponibles con URL</t>
  </si>
  <si>
    <t>Campaña  acompañada de envío de 3 mailing</t>
  </si>
  <si>
    <t>181 ejemplares catalogados y clasificados.</t>
  </si>
  <si>
    <t>2 reuniones correspondientes a los meses de marzo y abril.</t>
  </si>
  <si>
    <t>2 socializaciones al interior de la oficina sobre temas Siplag</t>
  </si>
  <si>
    <t>se elaboro en el inicio de año</t>
  </si>
  <si>
    <t>se preparó la liquidacion de la nomina y los pagos por concepto de seguridad social de los meses de marzo y abril de 2015</t>
  </si>
  <si>
    <t>DENTRO DE LAS NOVEDADES MAS REPRESENTATIVAS TENEMOS: RETIRO DE DOS FUNCIONARIOS, INGRESO DE 3 FUNCIONARIOS, VACACIONES UNA PERSONA, INCAPACIDAD DE 5 PERSONAS</t>
  </si>
  <si>
    <t>Se registraron en total 103 permisos , para marzo 56 y para abril 47</t>
  </si>
  <si>
    <t>Se realizó afilición de 5 contratistas en el mes de abril. En el mes de marzo no fue necesario realizar afilicaiones</t>
  </si>
  <si>
    <t xml:space="preserve">Luz Dary Urrego </t>
  </si>
  <si>
    <t xml:space="preserve">Durente el mes de mayo y abril se crearon 4 nuevos usuarios </t>
  </si>
  <si>
    <t>Durante  el mes de marzo y abril se envio a cada funcionario un listado del estado  para efectuar las actualizaciones y/o modificaciones</t>
  </si>
  <si>
    <t>Durante el mes de marzo y abril se dieron de baja a 2 exfuncionarios</t>
  </si>
  <si>
    <t>Mensualmente se envia via correo electronico la informacion de los funcionarios que deben actualizar su hoja de vida</t>
  </si>
  <si>
    <t>Se mantiene actualizada la información de las hojas de vida</t>
  </si>
  <si>
    <t>Durante los meses de marzo y abril se expedieron  38 certificaciones a funcionarios</t>
  </si>
  <si>
    <t>se realizaron 2 certificaciones de exfuncionarios</t>
  </si>
  <si>
    <t xml:space="preserve">Se emitio el reporte de marzo y abril , enviando a cada dependencia la información </t>
  </si>
  <si>
    <t>Realizar reuniones de seguimiento mensual</t>
  </si>
  <si>
    <t>Ángela Gómez
Laura Amado</t>
  </si>
  <si>
    <t>Se ha logrado consolidar el nuevo COPASST, se están realizando las  reuniones de acuerdo a lo requerido, de igual manera se encuentran en capacitación.
El Comité de Convivencia Laboral será elegido en el mes de mayo.
La Comisión de Personal terminó su periodo, por tanto el Comité de Bienestra también se encuentra sin la mitad de los integrantes.</t>
  </si>
  <si>
    <t>COPASST: El comité no cuenta con presupuesto para el desarrollo de las actividades proyectaas, se ha realizado la gestión ante la OAPI por instrucciones del Presidente, pero aun no reciben respuesta al respecto.
Comisión de Personal: Desde la Coordinación de Talento Humano no se ha realizado la solicitud de clave para el envío de los reportes trimestrales. Durante el periodo de la comisión no se han enviado reportes a la CNSC.</t>
  </si>
  <si>
    <t>Se realizaron 63 actos administrativos y en Abril 58.</t>
  </si>
  <si>
    <t>Se realizaron 47 actos administrativos y en Abril 22.</t>
  </si>
  <si>
    <t>No se están cumpliendo los tiempos de solicitud, no se entrega oportunamente el formato diligenciado de liquidación de via´ticos y gastos de viaje</t>
  </si>
  <si>
    <t>Se realizaron 31 pagos en el mes de marzo y 25 en abril de 2015</t>
  </si>
  <si>
    <t>Realizar los tramites para pagos de gastos de viaje de contratistas de la UNGRD  del Proyecto de Inversión</t>
  </si>
  <si>
    <t>Tramites para Pago</t>
  </si>
  <si>
    <t xml:space="preserve">No de tramites para pagos según acto administrativo que lo indique </t>
  </si>
  <si>
    <t>registro de fecha radicado ante financiera</t>
  </si>
  <si>
    <t>En el mes de marzo se  realizaron 35 ordenes de pago y en abril 24 para el proyecto de asistencia técnica</t>
  </si>
  <si>
    <t xml:space="preserve">se recibieron todas las legalizaciones correspondientes a marzo y abril </t>
  </si>
  <si>
    <t xml:space="preserve">se realizaron 2 reembolsos de la Caja menor de viático y Gastos de viaje </t>
  </si>
  <si>
    <t xml:space="preserve">El cierre presupuestal se realizar en el mes de Diciembre </t>
  </si>
  <si>
    <t>Durante los meses de  marzo y abril se emitieron 160 tkt para funcionarios</t>
  </si>
  <si>
    <t>Durante los meses de  marzo y abril se emitieron 40 tkt para Contratista de la UNGRD</t>
  </si>
  <si>
    <t>Durante los meses de  marzo y abril se emitieron 224 tkt para Contratista de la FNGRD</t>
  </si>
  <si>
    <t>Se efectuo el respectivo seguimiento de ejecucion para el Contrato de UNGRD se ejecuto el valor de $307,545,186 para el Contrato FNGRD $830,344,138</t>
  </si>
  <si>
    <t>Mensualmente se efectua un informe con el total de tkt expedidos junto con su ejecucion y valores pendientes de ejecutar</t>
  </si>
  <si>
    <t>se ejecutó la linea de mejoramiento y contexto organizacional, realizando las siguientes actividades: 1,Conmemoración de los cumpleaños de los servidores de UNGRD, 2,bienvenidas,3 calidad del servicio interno se reforzo con el inicio de talleres de mejoramiento, 4 iniciamos los reconocimientos grupales e individuales mediante la campaña el año del buen trato apuntandole a los valores y transparencia. 5 continuidad al proceo de carnetización en la Unidad.</t>
  </si>
  <si>
    <t>No se ha ejecutado presupuesto</t>
  </si>
  <si>
    <t>no se ejecutó</t>
  </si>
  <si>
    <t>Se realizó  al inicio de la vigencia</t>
  </si>
  <si>
    <t>El equipo de 3 integrantes con que cuenta la entidad, no han definido el proyecto de trabajo. Se ha realizado acompañamiento para definir el tema pero aun no se ha delimitado.</t>
  </si>
  <si>
    <t>Se realizó la jornada de actualización sobre estudios previos con IDGL - logrando la participación de 94 personas</t>
  </si>
  <si>
    <t>Se tuvo que reporgramar la segunda jornada de actualización sobre Estudios Previos</t>
  </si>
  <si>
    <t>La evaluación de este espacio se realizará luego de la segunda jornada</t>
  </si>
  <si>
    <t>ELPLAN SE ELABORÓ EN EL MES DE ENERO</t>
  </si>
  <si>
    <t>El cCCL terminó su Peiordo.
Se realizarán elecciones para el nuevo CCL el día 4 de mayo</t>
  </si>
  <si>
    <t>Actualización de la Matriz de factores de Riesgo y controles</t>
  </si>
  <si>
    <t>Matriz Actualizada</t>
  </si>
  <si>
    <t>Se realizó actualización en el mes de marzo</t>
  </si>
  <si>
    <t>Se encuentran diligenciados los indicadores da Capacitación únicamente</t>
  </si>
  <si>
    <t>Se ha solicitado a los responsables del cargeu, en las reuniones de seguimiento mensual, que realicen la actualización, pero a la fecha no se evidencia la información en el sistema.</t>
  </si>
  <si>
    <t>Se levanto previo concepto.</t>
  </si>
  <si>
    <t>Se esta adelantando inventario de la plataforma tecnologica para validar licencias.</t>
  </si>
  <si>
    <t>1. Se esta trabajando con la oficina juridica para la creacion de un acuerdo de intercambio de informacion con la DIMAR. 2. Se estan adelantando reuniones exploratorias con la Direccion de Cambio Climatico del MADS para la definicion de acuerdos de intercambio de informacion.</t>
  </si>
  <si>
    <t xml:space="preserve">Se realizo informe CAT DDO II en el cual se reporto el estado de avance de asistencia tecnica, PNGR, ENRE e informe de simulacro de activacion del credito. Informe de cierre de PND para Contraloria con cierre diciembre 2014 con soportes de cierre de cada año. </t>
  </si>
  <si>
    <t>Se establecieron indicadores de seguimiento.</t>
  </si>
  <si>
    <t>Revision de los indicadores finales.</t>
  </si>
  <si>
    <t xml:space="preserve">Elaboracion de cronograma de propuesta de trabajo para la elaboracion de los productos establecidos. Se establecieron y priorizaron los productos a realizar. Conformacion del grupo de trabajo para el desarrollo de los productos. </t>
  </si>
  <si>
    <t>Se realizo informe CAT DDO II en el cual se reporto el estado de avance de asistencia tecnica, PNGR, ENRE e informe de simulacro de activacion del credito</t>
  </si>
  <si>
    <t>Unicamente hay dos proyectos en ejecucion: Asistencia Tecnica y Fortalecimiento de Politicas.</t>
  </si>
  <si>
    <t xml:space="preserve">Se han realizado de acuerdo a las solicitudes y observaciones. </t>
  </si>
  <si>
    <t>Consolidacion del equipo de trabajo.</t>
  </si>
  <si>
    <t>Se ha cumplido con el cargue y la actualizacion de los indicadores.</t>
  </si>
  <si>
    <t>Se estan haciendo ajustes para lo que establece el nuevo decreto de gobierno en linea para lo que tienen que ver con el PETI.</t>
  </si>
  <si>
    <t xml:space="preserve">En construccion actualizacion primer semestre. </t>
  </si>
  <si>
    <t xml:space="preserve">Se estan creando nuevos rteportes en la herramienta para la posterior integracion. </t>
  </si>
  <si>
    <t>No se ha solicitado rendicion de cuentas.</t>
  </si>
  <si>
    <t>Sin avance</t>
  </si>
  <si>
    <t>De acuerdo a la Resolución 1551 de 18 de dic de 2014, articulo 4 se define en su númeral 4 que la Secretaria General seria la responsable de revisar y actualizar  el PAA.</t>
  </si>
  <si>
    <t>Se realizaron 12 contratos para cubrir las necesidades de la entidad</t>
  </si>
  <si>
    <t>Los acuerdos marco no cubren las necesidades de la Entidad</t>
  </si>
  <si>
    <t>Seguimiento mensual a cada contrato verificado con le registro de los pagos.</t>
  </si>
  <si>
    <t>A la fecha se realizarón 4 reembolsos de caja menor</t>
  </si>
  <si>
    <t xml:space="preserve">La porpuesta de la política de Gestión Documental se encuentra en revisión por parte del Secretario General </t>
  </si>
  <si>
    <t>La pPolíca aun no esta aprobaa</t>
  </si>
  <si>
    <t>Se elaboraron mensualmete los informes conolidadeso de Bienes al area financiera de acuerdo a las fechas estipuladas</t>
  </si>
  <si>
    <t>Elaborados los reportes mensuales</t>
  </si>
  <si>
    <t>Reportes elaborados</t>
  </si>
  <si>
    <t>Proceso de Atención al Ciudadano actulizado</t>
  </si>
  <si>
    <t>Se realizan reuniones mensuales</t>
  </si>
  <si>
    <t>Se realiza en las reuniones mensuales</t>
  </si>
  <si>
    <t>Indicadores de antención al ciudadano, al día.</t>
  </si>
  <si>
    <t>En promedio se atendieron 343 casos para el bimestre marzo-abril.</t>
  </si>
  <si>
    <t>Se realizo otrosi al contrato 9677-04-236 Colocation para tener sitio alterno con servidores que trabajan algunos sistemas misionales de la entidad.</t>
  </si>
  <si>
    <t>Se adjudica el 17 de abril mediante proceso de subasta a inversa el alquiler de equipos de computo. El proveedor que gano fue la empresa RENTACOMPUTO.</t>
  </si>
  <si>
    <t>Todos los equipos que se han solicitado se han instalado y configurado a los nuevos contratistas y funcionarios de la UNGRD</t>
  </si>
  <si>
    <t xml:space="preserve">Se firmo acta de inicio a partir del 30 de abril de 2015 con el consorcio EFORCERS-ITO SOFTWARE. </t>
  </si>
  <si>
    <t>Se esta en el proceso de la conformación de la ficha tecnica.</t>
  </si>
  <si>
    <t>Se solicita correr la fecha hasta agosto</t>
  </si>
  <si>
    <t>Se envio ficha tecnica para la ealización de estudios previos</t>
  </si>
  <si>
    <t>Se realiza un seguimiento a diario sobre la actualización de los servidores que manejas la infraestructura tecnologica de la entidad.</t>
  </si>
  <si>
    <t>Por la herramienta web suministrada por el proveedor se verifica la funcionalidad de los canales de internet.</t>
  </si>
  <si>
    <t>Se ha realizado el informe mensualmente sobre el funcionamiento o novedades de la red inalambrica</t>
  </si>
  <si>
    <t>Se realiza monitoreo diario y mensual a traves del administrador PCSecure.</t>
  </si>
  <si>
    <t>Se realiza la configuración de la tarjeta y huella de los nuevos funcionarios y contratistas de la Entidad y se revisan los inconvenientes presentados en el acceso.</t>
  </si>
  <si>
    <t>Se realizan mesas de trabajo con los responsables de los procesos para identificar cambios y/o actualizaciones de las OPAS existentes</t>
  </si>
  <si>
    <t>Coordinar las agendas con los lideres</t>
  </si>
  <si>
    <t>El protocolo esta en proceso de actualización</t>
  </si>
  <si>
    <t>Se realizo en enero con el equipo SIPLAG y la oficina de control interno, a la fecha se han realizado dos (2) seguimiento.</t>
  </si>
  <si>
    <t>Se han realizado dos seguimientos</t>
  </si>
  <si>
    <t>La OCI actualizo el mapa de riesgos y se realizo el primer seguimeinto</t>
  </si>
  <si>
    <t>Actividades en desarrollo</t>
  </si>
  <si>
    <t>Falta de personal de apoyo para temas operativos</t>
  </si>
  <si>
    <t>Se realizo y publico el informe en la pagina webb para dar cumplimiento al plan anticorrupción (http://portal.gestiondelriesgo.gov.co/Paginas/Informe-Atencion-al-Ciudadano.aspx)</t>
  </si>
  <si>
    <t>Se han generado 10 repotes y 5140 registros.</t>
  </si>
  <si>
    <t>Igual que el bimestre pasado.</t>
  </si>
  <si>
    <t xml:space="preserve">Se esta avanzando con Planeacion </t>
  </si>
  <si>
    <t>Se continua con la formalizacion de los proces. Se adjuntan actas.</t>
  </si>
  <si>
    <t>Se han elaborado 93 en enero y 84 en febrero.</t>
  </si>
  <si>
    <t>Se han radicado 434 en enero y 464 en febrero.</t>
  </si>
  <si>
    <t>Se han realizado 16 ajustes en enero y 8 en febrero.</t>
  </si>
  <si>
    <t>Se adjunta soporte para el primer bimestre.</t>
  </si>
  <si>
    <t>En Enero 70 y en Febrero 95</t>
  </si>
  <si>
    <t>Se elaboraron 118 en enero y 14 en febrero.</t>
  </si>
  <si>
    <t>Se ha cumplido con la demanda. 18 para marzo y 23 para abril.</t>
  </si>
  <si>
    <t>Se elaboraron 85 en enero y 53 en febrero</t>
  </si>
  <si>
    <t>Se cumplio con la demanda. 90 para marzo y 68 para abril.</t>
  </si>
  <si>
    <t>En Enero 73 y en Febrero 96</t>
  </si>
  <si>
    <t>4 para marzo y 4 para abril.</t>
  </si>
  <si>
    <t>Salio en Marzo, publicado 10 de marzo</t>
  </si>
  <si>
    <t>Se encuentra en elaboracion</t>
  </si>
  <si>
    <t>Ya esta publicado en la pagina marzo y abril.</t>
  </si>
  <si>
    <t>Se esta avanzando para el cumplimiento en julio.</t>
  </si>
  <si>
    <t>Se presento Noviembre y Diciembre</t>
  </si>
  <si>
    <t>Se realizo en enero.</t>
  </si>
  <si>
    <t>Se ha asistido a 1 el 12 febrfero.</t>
  </si>
  <si>
    <t>Se  ha cumplido con las programaciones de Ministerio de Hacienda.</t>
  </si>
  <si>
    <t>No se han realizado</t>
  </si>
  <si>
    <t>Esta en construccion con base en informe de control interno de fecha marzo 16</t>
  </si>
  <si>
    <t>Ya se formulo Plan de Mejoramiento. Se entrego el 14 de abril.</t>
  </si>
  <si>
    <t xml:space="preserve">Se han subido indicadores de Enero a SIPLAG y esta en proceso de cargarse Febrero. CDP 118 en enero y 14 febrero. </t>
  </si>
  <si>
    <t>No se ha realizado este año.</t>
  </si>
  <si>
    <t xml:space="preserve">Se recibieron y revisaron 18  estudios y documentos previos  para la contratación de bienes, servicios y obras para la UNGRD. </t>
  </si>
  <si>
    <t>Se ha realizado la elaboracion de 18 contratos en el segundo bimestre.</t>
  </si>
  <si>
    <t>Se han aprobado garantias para 18 contratos.</t>
  </si>
  <si>
    <t>Se han elaborado 18 actas de designación de supervisores.</t>
  </si>
  <si>
    <t>Se han elaborado y/o revisado 6 actas de liquidación, de suspensión, de terminación anticipada, de cesión.</t>
  </si>
  <si>
    <t>Se han elaborado 4 prorrogas, adiciones o modificaciones a los contratos.</t>
  </si>
  <si>
    <t>Se han elaborado y/o revisado 2 pliegos de condiciones definitivos para procesos de licitación, concurso o selección abreviada</t>
  </si>
  <si>
    <t>Se realizo 1 capacitacion a los funcionarios de la UNGRD respecto de las modalidades de selección del contratista y lo lo realitivo a la etapa precontractual, contractual y postcontractual.</t>
  </si>
  <si>
    <t>Desarrollar el cierre del Plan Estratégico para la vigencia 2010-2014</t>
  </si>
  <si>
    <t xml:space="preserve">Resolucion numero 290 de 13 de marzo  de 2014 </t>
  </si>
  <si>
    <t>Se realizo la reunion de Marzo.</t>
  </si>
  <si>
    <t xml:space="preserve">El reporte de Marzo no se realizo debido a fallas en la plataforma tecnologica. Hay evidencias, </t>
  </si>
  <si>
    <t>Entre Marzo y Abril de han proyectado 10 certificaiones de insuficiencia de personal.</t>
  </si>
  <si>
    <t xml:space="preserve">Esta pendiente la adopcion del Plan por parte las entidades competentes. </t>
  </si>
  <si>
    <t>Ya se contrato profesional para diseñar la metodologia para el seguimiento y evaluacion del PNGRD.</t>
  </si>
  <si>
    <t xml:space="preserve">Se tiene pendiente revision de documento tecnico con comites y mesas tecnicas para el 30 de Julio. </t>
  </si>
  <si>
    <t xml:space="preserve">Se realizaron los Planes de Mejoramiento de acuerdo a observaciones y solicitudes. </t>
  </si>
  <si>
    <t>Los indicadores para la Subdireccion de Proteccion se presentan semestralmente. Julio y Diciembre</t>
  </si>
  <si>
    <t>Se actualizo el mapa de riesgos por procesos .</t>
  </si>
  <si>
    <t xml:space="preserve">Se efectuaron las actualizaciones del mapa de riesgos de corrupcion. </t>
  </si>
  <si>
    <t>SEGUIMIENTO SEGUNDO BIMESTRE DE 2015</t>
  </si>
  <si>
    <t>SEGUIMIENTO PRIMER BIMESTRE DE 2015</t>
  </si>
  <si>
    <t>% DEL LOGRO A JUNIO</t>
  </si>
  <si>
    <t>% CUMPLIMIENTO PA A JUNIO</t>
  </si>
  <si>
    <t xml:space="preserve">Elaborado y enviado boletín mes de mayo. </t>
  </si>
  <si>
    <t>En adelanto de proceso contractual.</t>
  </si>
  <si>
    <t xml:space="preserve">Contrato  en ejecución, se realizó grabaciones para comercial sobre temporada de lluvias. </t>
  </si>
  <si>
    <t xml:space="preserve">Se están redefiniendo escenarios para la grabación de los demás comerciales. </t>
  </si>
  <si>
    <t>Grabación de testimonios en Salgar, Antioquia, tras la atención y respuesta a la emergencia.</t>
  </si>
  <si>
    <t>Creación de Micrositio sobre atención de la emergencia en Salgar, Antioquia.</t>
  </si>
  <si>
    <t xml:space="preserve">Este proceso se adhirió al contrato que en este momento se está realizando con Maloka. Se encuentra en adelanto del proceso contractual. </t>
  </si>
  <si>
    <t>Montaje en página web y se continúa haciendo la actualización del mismo con la información que se suministra para tal fin.</t>
  </si>
  <si>
    <t>61 monitoreos de medios durantes los meses de mayo y junio.</t>
  </si>
  <si>
    <t>58 Comunicados de prensa elaborados y difundidos de manera masiva a las bases de datos.</t>
  </si>
  <si>
    <t>Rueda de prensa en el Municipio de Salgar, Antioquia. Director General da declaraciones sobre respuesta a la emergencia.</t>
  </si>
  <si>
    <t>82 actualizaciones de material en plataforma Koha.</t>
  </si>
  <si>
    <t>En proceso de elaboración boletín de junio. Retraso debido atención de otras prioridades.</t>
  </si>
  <si>
    <t>Elaboración y envío a planta y contratistas de Boletín Interno, meses de mayo y junio.</t>
  </si>
  <si>
    <t>5 campañas de: Comunicación interna (Cubo).
- Dia del medio ambiente
- Campaña cero papel
-Feria Siplag
-Imagen institucional en terreno</t>
  </si>
  <si>
    <t>Mes en imágenes, sin fin de fotos. Operación Salgar. Operación Santander. Temporada de lluvias.
Actualización de carteleras con los 4 boletínes.  2 externo y 2 internos.</t>
  </si>
  <si>
    <t>Desarrollo de proceso contractual.</t>
  </si>
  <si>
    <t>Enviados al centro de documentación en mayo y junio a través de correo electrónico.</t>
  </si>
  <si>
    <t>Asistencia a las reuniones de mayo y junio por la persona delegada.</t>
  </si>
  <si>
    <t>Socialización al equipo de la OAC de reunión mensual Siplag. Con acta de cada socialización.</t>
  </si>
  <si>
    <t>Cargue de información en neogestión  de acuerdo a los indicadores trimestrales.</t>
  </si>
  <si>
    <t>Dos videos del mes en imágenes de mayo y junio, compartidos de forma masiva y subido en las plataformas dispuestas para eso.</t>
  </si>
  <si>
    <t>Trámite de comercial temporada de lluvias, emitido por canales nacionales hasta el 20 de junio.</t>
  </si>
  <si>
    <t>Proceso transferido al área administrativa</t>
  </si>
  <si>
    <t>Catalogación de 179 registros</t>
  </si>
  <si>
    <t>Actualización el día 14 de mayo, de acuerdo a la necesidad.</t>
  </si>
  <si>
    <t>Boletín de mayo a todas las entidades del Sistema.
Información de todo el proceso de respuesta y recuperación en Salgar a Ministerio de Vivienda.
Video de Preparación en casa ante un huracán, comunicado sobre temporada de huracanes y recomendaciones compartido a Comunicadores de las Gobernaciones del país, especialmente Costa Atlántica.</t>
  </si>
  <si>
    <t>410 actualizaciones en redes sociales. Facebook, Twitter, Youtube</t>
  </si>
  <si>
    <t>118 nuevos registros en las bases de datos.</t>
  </si>
  <si>
    <t>1364 Fotografías y videos en 46 álbumes.</t>
  </si>
  <si>
    <t>Consolidación de información
Diseño de imagen del Simulacro
Coordinación comn IDIGER para comercial y cuña.
Rediseño del plan de trabajo</t>
  </si>
  <si>
    <t>UNIDAD NACIONAL PARA LA GESTIÓN DEL RIESGO DE DESASTRES - UNGRD- Seguimiento Tercer Bimestre de 2015</t>
  </si>
  <si>
    <t>META  A JUNIO</t>
  </si>
  <si>
    <t>% META  BIMESTRE</t>
  </si>
  <si>
    <t>%CUMPLIMIENTO PA A JUNIO</t>
  </si>
  <si>
    <t>No se ha demandado</t>
  </si>
  <si>
    <t>Se han Citado la comisión, pero la incorporación se realiza en el siguiente periodo según los estipulado en el PA</t>
  </si>
  <si>
    <t>Se citó tres comisione:  el 4, 9 y 24 de Junio</t>
  </si>
  <si>
    <t>Tener ldefinidos los temas a tratar en la comisión en la que se incorporen los sectores</t>
  </si>
  <si>
    <t>Se citó el Comité en Junio, pero fue una reunión extraordinaria por el tema de Salgar. 
Definición de la agenda a tratar en el comité</t>
  </si>
  <si>
    <t>La OAPI no ha citado a la SCR. Se acordaron reuniones conjuntas para identificar las necesidades de la SCR frente al Sistema Nacional de Información y Gestión del Riesgo.</t>
  </si>
  <si>
    <t>No se ha demandado asesoría técnica por parte de entidades territoriales y  nacionales.</t>
  </si>
  <si>
    <t>Se realizó la caracterización de escenarios de riesgo tecnológico y se esta trabajado en la caracterización de escenarios de riesgo volcánico, de  inundaciones y huracanes, los cuales se encuentran en una avance de 80%</t>
  </si>
  <si>
    <t>Revisiones finales por parte del SGC en el escenarios de riesgo Volcánico</t>
  </si>
  <si>
    <t xml:space="preserve">Villarrica: El comité extraordinario  aprobó una ampliación de tiempo y una adición de $250.000.000.oo de pesos e por lo cual se realizará Otro si.
Casa de lata: Según el cronograma la entrega del tercer producto se realizará el 29 de junio de 2015, pero en la reunión del 19 de junio de 2015 se acordó la entrega para el día 6 de julio de 2015.
FNGRD 9677-PPAL001-285-2015 con la corporación OSSO : Se elaboró el acta de inicio  del 1 de junio de 2015. La corporación OSSO se encuentra actualizando las pólizas del convenio y remitirá a la supervisión el plan de acción anual para gestionar el primerdesembolso del convenio. </t>
  </si>
  <si>
    <t xml:space="preserve">El SGC no ha enviado la solicitud para iniciar el proceso del Otro  sí -Villarrica
El concvenio 9677-PPAL001-285-2015 tuvo un finalización anticipada ya que una vez revisado se vio inconvenientes en la formulación del proyecto e inviabilidad financiera por lo tanto la dirección general decidió liquidar este convenio junto con los contratos de Amaury Arroyo y Wilder Socarrás
FNGRD 9677-PPAL001-285-2015 con la corporación OSSO : Se requiere hacer otro sí o aclaración al cuadro de desembolsos ya que los pagos se encuentran pactados para 5 trimestres y son sólo 4 trimestres. Adicionalmente, se  deberán precisar los alcances del numeral 3 de la cláusula segunda del convenio. 
</t>
  </si>
  <si>
    <t>Se ha realizado seguimiento a 6 convenios de vigencias pasadas pero que sighuen en ejecucución.</t>
  </si>
  <si>
    <t>Se realizó los aportes pertinentes por parte de la SCR, la Guía se encuentra en fase consolidación por parte de la SRR</t>
  </si>
  <si>
    <t>Los procesos de revisión por parte de las subdirecciones se han tomado más tiempo del programado y se espera que la guía tenga lanzamiento el 13 de Octubre</t>
  </si>
  <si>
    <t>El proyecto no se va a realizar en el marco de los proyectos de inversión de DNP, estamos a la espera de indicaciones.</t>
  </si>
  <si>
    <t>Se entregó el úlktimo modulo según cronogram propuesto, se inció etapa de liquidación de contrato.</t>
  </si>
  <si>
    <t>Se elaboró propuesta por parte del gobierno del Quindío y existen conversaciones con JICA para participar de esta acción.</t>
  </si>
  <si>
    <t>Se han obtenido los siguientes productos: Caracterización del Sistema Nacional de Gestión del Riesgo, en sus entornos ocupacional, tecnológico, educativo y ambiental. El Mapa Funcional de Gestión del Riesgo, avance de la normalización de las competencias laborales en actividades de rescate y avance en la construcción del perfil ocupacional del coordinador municipal y departamental de Gestión  del Riesgo.</t>
  </si>
  <si>
    <t>Logros: Línea base de la  educación e investigación en Gestión del Riesgo
Convenios con universidades
Reunión Consejo Directivo de ASCUN</t>
  </si>
  <si>
    <t>Convenio macro entre la  UNGRD y la U. Manizales se firmó un convenio  para el desarrollo de procesos de Conocimiento, Reducción y Manejo de Desastres. En el marco de dicho convenio, dentro del proceso de conocimiento, se proyectó el desarrollo de un diplomado de Gestión Social del Riesgo. Actualmente se cuenta con una estructura general que fue puesta a discusión en la comisión y se espera que otras universidades se vinculen a la iniciativa.
Se tiene la  proyección de establecer convenios marco con las Universidades: Escuela de Ingenieros Militares y U. Santo Tomás. Las dos entidades se encuentran desarrollando procesos investigativos en Gestión del Riesgo y tienen interés de fortalecer dichos procesos en conjunto con la UNGRD.</t>
  </si>
  <si>
    <t>No se ha demandado y no se ha especificado un procedimiento para realizar estos apoyos</t>
  </si>
  <si>
    <t>Se elaboró el plan de mejoramiento para el único hallazgo que quedó a cargo de la subdirección, el hallazgo número H6A6 de "Vulnerabilidad sismica a entidades indispensables y de atención a la comunidad"</t>
  </si>
  <si>
    <t>No se ha realizado la conformación de la mesa permannte de Riesgo sismico.</t>
  </si>
  <si>
    <t>Se realizó el primer seguimiento al plan de mejoramiento.</t>
  </si>
  <si>
    <t xml:space="preserve">Se asistió a las dos reuniones de Mayo y Junio. </t>
  </si>
  <si>
    <t>Se realizaron las dos retroalimentaciones al grupo de la SCR según cronograma y se enviaron las actas a la OAPI</t>
  </si>
  <si>
    <t>Se realiz´seguimiento de uno de los indicadores de gestión del proceso
El seguiiento de los otros indicadores se realizará en Julio con acompañamiento de la OAPI</t>
  </si>
  <si>
    <t xml:space="preserve">Se realizó la actualización de los mapas de riesgos por procesos </t>
  </si>
  <si>
    <t xml:space="preserve">Socializar la información relacionada con la estrategia de rendición de cuentas establecida en la entidad </t>
  </si>
  <si>
    <t>Soportes de socialización</t>
  </si>
  <si>
    <t xml:space="preserve">Material de socialización </t>
  </si>
  <si>
    <t>Realizar el diagnóstico para formular la Estrategia de Rendición de Cuentas del 2015 con base en la evaluación de la estrategia del 2014.</t>
  </si>
  <si>
    <t xml:space="preserve">Documento de diagnóstico </t>
  </si>
  <si>
    <t xml:space="preserve">No de documentos de diagnóstico elaborados </t>
  </si>
  <si>
    <t>Ejecutar la  Estrategia de Rendición de Cuentas del 2015</t>
  </si>
  <si>
    <t>Actividades ejecutadas de la estrategia de rendición de cuentas</t>
  </si>
  <si>
    <t>No de actividaes de la estrategia de rendición de cuentas/ No de actividades ejecutadas</t>
  </si>
  <si>
    <t>Soportes de ejecución de actividades de la estrategia de rendición de cuentas</t>
  </si>
  <si>
    <t>Hacer seguimiento a la ejecución de la  Estrategia de Rendición de Cuentas del 2015</t>
  </si>
  <si>
    <t xml:space="preserve">Soportes de seguimiento </t>
  </si>
  <si>
    <t>No de actividades de seguimiento ejecutadas/ No de actividades de seguimiento programadas</t>
  </si>
  <si>
    <t xml:space="preserve">Realizar la evaluación a la ejecución de la  Estrategia de Rendición de Cuentas  2015 </t>
  </si>
  <si>
    <t>Documento de evaluación</t>
  </si>
  <si>
    <t>No de dcumentos de evaluacón a la ejecución de la estrategia de rencidición de cuentas 2015 elaborados</t>
  </si>
  <si>
    <t xml:space="preserve">Documento de evaluacón a la ejecución de la estrategia de rencidición de cuentas 2015 </t>
  </si>
  <si>
    <t>Acompañar la actualización de los mapas de riesgos de gestión de cada uno de los procesos de la entidad</t>
  </si>
  <si>
    <t xml:space="preserve">No. Mapas de riesgo de gestión actualizados </t>
  </si>
  <si>
    <t xml:space="preserve">Marcela Zamudio </t>
  </si>
  <si>
    <t>Mapa de riesgos de gestión actualizados</t>
  </si>
  <si>
    <t>Realizar el seguimientoy consolidación de información de los mapas de riesgo de gestión de los procesos de la entidad</t>
  </si>
  <si>
    <t xml:space="preserve">Mapa de riesgos de gestión con seguimiento registrado </t>
  </si>
  <si>
    <t>Registro de seguimientos en los mapas de riesgo de gestión de los procesos de la entidad</t>
  </si>
  <si>
    <t xml:space="preserve">Mapas de riesgos de gestión ccon seguimiento </t>
  </si>
  <si>
    <t>Elaborar el Mapa de Riesgos de Corrupción Consolidado de la Entidad y publicarlo en página web</t>
  </si>
  <si>
    <t>Acompañar la actualización de los mapas de riesgos de corrupción de cada uno de los procesos de la entidad</t>
  </si>
  <si>
    <t xml:space="preserve">Mapa de riesgos de corrupción con seguimiento registrado </t>
  </si>
  <si>
    <t>Mapas de riesgos de corrupción</t>
  </si>
  <si>
    <t>Actualización Procedimientos del proceso Gestión de Servicio al  Ciudadano</t>
  </si>
  <si>
    <t xml:space="preserve">Socializar la información relacionada con la estrategia antitrámites establecida en la entidad </t>
  </si>
  <si>
    <t>Elaborar el cronograma de actividades para intervención de nuevos trámites u OPAS y de acciones de mejora para los OPAS existentes</t>
  </si>
  <si>
    <t xml:space="preserve">Cronograma </t>
  </si>
  <si>
    <t xml:space="preserve"> Cronograma de actividades para intervención de nuevos trámites u OPAS y de acciones de mejora para los OPAS existentes</t>
  </si>
  <si>
    <t>Socializar la información relacionada con Atencion al Ciudadano establecida en la entidad</t>
  </si>
  <si>
    <t xml:space="preserve">Espacios de socialización desarrollados </t>
  </si>
  <si>
    <t xml:space="preserve">Fanny Torres
Adriana Rodríguez
</t>
  </si>
  <si>
    <t>Listados de asistencia a talleres de atención excepcional</t>
  </si>
  <si>
    <t>Actualizar la información relacionada con atención al ciudadano en la página web de la UNGRD  y en rotafolio o cartelera informativa  ubicados en las instalaciones de la entidad</t>
  </si>
  <si>
    <t xml:space="preserve">Documentos relacionados con atención al ciudadano actualizados y publicados </t>
  </si>
  <si>
    <t xml:space="preserve">No de documentos relacionados con atención al ciudadano actualizados y publicados en el rotafolio y en la página web de la UNGRD </t>
  </si>
  <si>
    <t xml:space="preserve">documentos relacionados con atención al ciudadano actualizados y publicados en el rotafolio y en la página web de la UNGRD </t>
  </si>
  <si>
    <t>Gestionar la adecuación de espacios físicos para la atención de personas en situación de discapacidad, niños, niñas, mujeres gestantes 
y adultos mayores para el cumplimiento de los requisitos de la normatividad establecida</t>
  </si>
  <si>
    <t>Soportes de la gestión para la adecuación</t>
  </si>
  <si>
    <t>No de Soportes de la gestión para la adecuación de espacios físicos adecuados de acuerdo a normatividad establecida</t>
  </si>
  <si>
    <t>Soportes de la gestión para la adecuación de espacios físicos adecuados de acuerdo a normatividad establecida</t>
  </si>
  <si>
    <t>Gestionar espacios de formación para los servidores de la entidad,  que fortalezcan las competencias y habilidades en la prestación del servicio</t>
  </si>
  <si>
    <t>La actividad fue ejecutada en el mes de Marzo de 2015, como soporte se cuenta con la Resolución No. 290 del 13 de Marzo de 2015</t>
  </si>
  <si>
    <t>A la fecha se ha realizado la sesión del mes de Febrero de 2015.</t>
  </si>
  <si>
    <t>Dado que los representantes de los empleados ante la Comisión de Personal culminaban su gestión despúes de dos años de su elección, no se contaba con el quorum para llevar a cabo las sesiones posteriores. Por lo tanto, era necesario expedir el acto administrativo que permitiera dar soporte jurídico para iniciar el proceso de elección de los nuevos representantes para las respectivas convocatorias a las reuniones.</t>
  </si>
  <si>
    <t xml:space="preserve">Desde el GTH se intentó realizar el cargue de la información ante la CNSC para el periodo reportado en este seguimiento, sin embargo, no fue posible dicho cargue, toda vez que al no efectuar el reporte del primer trimestre, no se habilitaba el nuevo registro de información. En este sentido, se realizarán las gestiones ante la CNSC para lo respectivo. </t>
  </si>
  <si>
    <t>El cumplimiento de la actividad se efectuó en el mes de febrero de 2015</t>
  </si>
  <si>
    <t xml:space="preserve">NO SE HA REGISTRADO EL REPORTE DE JUNIO YA QUE SE ME DESIGNO LA LIQUIDACIÓN DE LA NÓMINA </t>
  </si>
  <si>
    <t>En mayo se realizaron 5 afiliacions y 3 en junio</t>
  </si>
  <si>
    <t xml:space="preserve">Durante los meses de mayo y junio no se efectuaron creacion de usuarios  en el Sistema de Información y Gestión del Empleo Público (SIGEP) </t>
  </si>
  <si>
    <t xml:space="preserve">Durante los meses de mayo y junio no se efectuaron modificacion de usuarios en el Sistema de Información y Gestión del Empleo Público (SIGEP) </t>
  </si>
  <si>
    <t xml:space="preserve">Durante los meses de mayo y junio no se efectuaron desvinculaciones de usuarios en el Sistema de Información y Gestión del Empleo Público (SIGEP) </t>
  </si>
  <si>
    <t xml:space="preserve">Durante los meses de mayo y junio no se efectuaron actualizaciones de usuarios en el Sistema de Información y Gestión del Empleo Público (SIGEP) </t>
  </si>
  <si>
    <t xml:space="preserve">Para el mes de Mayo se actualizaron 20   historias laborales 
Para el mes de Junio se actualizaron 15 historias laborales </t>
  </si>
  <si>
    <t>Se expide y suscribir las certificaciones solicitadas por funcionariosjurante el mes de mayor se expidieron 15 certificados y en junio 17 certificados</t>
  </si>
  <si>
    <t>Durante el mes de mayo y junio no se recibieron solicitudes de exfuncionarios</t>
  </si>
  <si>
    <t>Para el periodo del presente seguimiento, se expidieron 12 certificados de insuficiencia o inexistencia de personal</t>
  </si>
  <si>
    <t xml:space="preserve">EL REPORTE DE JUNIO SE SACA LA PRIMERA SEMANA DE JUNIO </t>
  </si>
  <si>
    <t>n el mes de mayo 66 y mes de junio 57, para un acumulado de enero al 30 de junio de 321</t>
  </si>
  <si>
    <t>No se esta cumpliendo con los tiempos de solicitud, no se entrega oportunamente el formtao diligenciado de liquidación de viáticos y gastos de viajes.</t>
  </si>
  <si>
    <t>en el mes de mayo 35 y mes de junio 31, para un acumulado de febrero al 30 de junio de 166</t>
  </si>
  <si>
    <t xml:space="preserve">HASTA EL 30 DE JUNIO SE HAN REALIZADO PAGOS A FUNCIONARIOS Y CONTRATISTAS </t>
  </si>
  <si>
    <t xml:space="preserve">SE HAN REALIZADO HASTA LA FECHA LOS PAGOS DE ACUERDO A LAS LEGALIZACIONES PRESENTADAS </t>
  </si>
  <si>
    <t xml:space="preserve">LOS FUNCIONARIOS NO PRESENTAN LAS LEGALIZACIONES DENTRO DE LOS TÈRMINOS ESTABLECIDOS </t>
  </si>
  <si>
    <t xml:space="preserve">LA GESTIÓN DE CAJA MENOR SE INICIO EN FEBRERO, POR LO TANTO HASTA EL MOMENTO SE HAN REALIZADO 4 REEMBOLSOS </t>
  </si>
  <si>
    <t>SE REALIZA AL FINAL DE VIGENCIA FISCAL</t>
  </si>
  <si>
    <t>Mayo  80 tkt expedidos 
Junio 88 tkt expedidos</t>
  </si>
  <si>
    <t>Aclaracion en el proceso de gestionar la autorizacion ante la Secretaria General antes de realizar la solicitud de reservas y expedicion de tkt</t>
  </si>
  <si>
    <t>Mayo  18 tkt expedidos 
Junio 17 tkt expedidos</t>
  </si>
  <si>
    <t xml:space="preserve">Mayo  66 tkt expedidos 
Junio 17 tkt expeddos  </t>
  </si>
  <si>
    <t xml:space="preserve">Durante la vigencia de Mayo y  Junio se ejecutó por el contrato del FNGRD $52.996.474 correspondiente al 100% del contrato
Actualmente se cuenta con un contrato de Emergencia, que inicio 27 de mayo y lleva de ejecución $40.180.758 correspondiente al 40% del total del contrato. </t>
  </si>
  <si>
    <t>Mensualmente se efectúa el informe de gestión correspondiente a la emisión de tkt, para el contratista de la UNGRD, planta y contratista del FNGRD.</t>
  </si>
  <si>
    <t>Se elaboró el diagnóstico</t>
  </si>
  <si>
    <t>Está pendiente incluir a descripción de la etapa de diagnóstico en el documento del Sistema de estímulos</t>
  </si>
  <si>
    <t>De acuerdo a la linea de deporte que hace parte del componente  se en el torneo de colsubsidio en las modalidades de futbol masculilno, futbol femenino , voleibol misto y baloncesto femenino. 
Se han realizado desde marzo los entrenamientos deportivos 1 vez por semana.
En feria de servicios se ha contado con la aseroria de diferentes entidades entre las cuales estan: Davivienda, Fondo nacional del ahorro, Compensar, preveer, arl positiva.</t>
  </si>
  <si>
    <t>inicio mes de la solidaridad " campaña el año del buen trato"    bienvenidas realizadas:  9     Celebración de cumpleaños:40    talleres de mejoramiento:4  día del abogado y dia del padre   celebración día del servidor público Organización campaña Minga (cuidado y disfrute)   día de las madres  Elaboración de la resolucioón de adopción plan de bienestar    Carnetización: 36</t>
  </si>
  <si>
    <t xml:space="preserve">No se ha ejecutado ya que el contrato no se ha realizado </t>
  </si>
  <si>
    <t>Se realizó el disgnostico con los beneficiarios del Plan Anual durante el mes de febrero</t>
  </si>
  <si>
    <t>Plan elaborado en el primer trimestre del año</t>
  </si>
  <si>
    <t>Se encuentra ejecutado en un 47% de acuerdo a cronogama</t>
  </si>
  <si>
    <t>El presupuesto se ejecuta en noviembre</t>
  </si>
  <si>
    <t>Se elaboró el diagnóstico durante el primer trimestre del año</t>
  </si>
  <si>
    <t xml:space="preserve">Durante los meses de mayo y junio se realizó actualización en impuestos distritales, seminario de Contratación Estatal, Seminario Gestión financiera, pública y presupuestal.
</t>
  </si>
  <si>
    <t>Algunas personas inscritas en los espacios de formación y capacitación no asisten a as jornadas programadas.</t>
  </si>
  <si>
    <t>Se ha realizado evaluación de la eficacia de los espacios organizados por la Unidad</t>
  </si>
  <si>
    <t>El cronograma de la ARL se realizo en el mes de Febrero</t>
  </si>
  <si>
    <t>La ARL por temas administrativos retraso el proceso y las actividades se iniciaron en Marzo perdiendo mes de Enero y Febrero</t>
  </si>
  <si>
    <t xml:space="preserve">Se realizo en el mes de Enero, actualmente las actividades estan en un 47%  algunas actividades se corrieron de fecha </t>
  </si>
  <si>
    <t>Se han realizado los acompañamientos y capacitaciones según el cronograma del copasst</t>
  </si>
  <si>
    <t>Se cancelo actividad de capacitacion del mes de junio por cancelacion de la pista de entrenamiento de la Policia nacional</t>
  </si>
  <si>
    <t>Se eligio nuevo comité de convivencia el cual se reunio el 15 de Mayo</t>
  </si>
  <si>
    <t>Se realiza nueva en el mes de Junio</t>
  </si>
  <si>
    <t>Se realiza actualizacion del plan de emergencias en Junio</t>
  </si>
  <si>
    <t>A la fecha solamente se evidencia el cargue de 3 indicadores de 14 requeridos.</t>
  </si>
  <si>
    <t>Los responsables de los indicadores no están realizando el cargue en Neogestión</t>
  </si>
  <si>
    <t>Se ha realizado ajuste y creación de los formatos requeridos durante la vigencia.</t>
  </si>
  <si>
    <t>Es importante mencionar que de acuerdo con la estrategia para la construcción del Plan Anticorrupción y de Atención al Ciudadano de la Secretaría de Transparencia, los seguimientos a los mapas de riesgo por corrupción se realizan por la Oficina de Control Interno con corte a 30 de Abril, 31 de Agosto y 31 de Diciembre. No obstante, de acuerdo con la política interna de Administración de Riesgo, el seguimiento es efectuado también por el dueño del proceso y el Representate de la Alta Dirección del SIPLAG. De acuerdo con la programación, el primer seguimiento se realizará en el mes de Julio por las tres instancias antes mencionadas.  En este sentido, desde el Grupo de Talento Humano se realizará la solicitud formal ante la OAPI para modificar la periodicidad de dichos seguimientos, toda vez que no son coherentes con la política interna.</t>
  </si>
  <si>
    <t>De acuerdo con la política interna de Administración de Riesgo, el seguimiento a los mapas de riesgo por proceso es efectuado por el dueño del proceso,  el Representate de la Alta Dirección del SIPLAG y la Oficina de Control Interno. De acuerdo con la programación, el primer seguimiento se realizará en el mes de Julio por las tres instancias antes mencionadas.  En este sentido, desde el Grupo de Talento Humano se realizará la solicitud formal ante la OAPI para modificar la periodicidad de dichos seguimientos, toda vez que no son coherentes con la política interna.</t>
  </si>
  <si>
    <t>% LOGRO A JUNIO</t>
  </si>
  <si>
    <t xml:space="preserve">%CUMPLIMIENTO PA A JUNIO  </t>
  </si>
  <si>
    <t>Se ha continuado el proceso de acompañamiento sectorial a todas las entidades del estado a fin de establecer el alcance de los compromisos en los Proyectos del PNGRD, en particular lo relacionado con la reducción del riesgo de desastres.
Se entregó un documento final con los proyectos PNGRD en el que todos los sectores del gobierno tienen participación y responsabilidades. Resta el trámite administrativo y jurídico para la expedición del Decreto del PNGRD. Los compromisos y metas de dichos proyectos son la base de la agenda de trabajo, que en el primer semestre del año ya se adelantaron con los sectores respectivos. (Agricultura, transporte y vivienda y desarrollo territorial)
En este periodo se solicita modificar el indicador, teniendo en cuenta las competencias de la SRR.</t>
  </si>
  <si>
    <t>La Subdirección General lidera este tema y para La Deficnición de las Agendas sectoriales estratégicas se requiere la expedición del PNGRD con el componente programático.</t>
  </si>
  <si>
    <t>Desde el mes de Febrero se han realizado asesorías a los siguientes sectores: Minas y Energía; Ambiente; Defensa; Comercio, Industria y Turismo.
En este periodo se solicita modificar el indicador, teniendo en cuenta las competencias de la SRR.</t>
  </si>
  <si>
    <t>Pendiente la expedición del PNGRD, proceso liderado por la Subdirección General.</t>
  </si>
  <si>
    <t>Actividad cumplida</t>
  </si>
  <si>
    <t>Se elaboró el primer informe de seguimiento a las acciones adelantadas por el Comité de RR de acuerdo al cronograma de trabajo.</t>
  </si>
  <si>
    <t>Se elaboró el primer informe de seguimiento a las acciones adelantadas por la Comisión de acuerdo al cronograma de trabajo.</t>
  </si>
  <si>
    <t>Se discutieron y ajustaron los proyectos relacionados con Reducción del Riesgo con Min Minas y Energía, MinDefensa, Min Hacienda, Tecnologías de Información y Comunicación, Sector Ind. y turismo, Planeación y Entidades Territoriales (a través de Fedemunicipios). El proceso de discusión iniciado a finales del 2014 ya finalizó, toda vez que ya se realizaron mesas de trabajo con todos los sectores del gobierno nacional y culminamos este proceso en junio del presente año.</t>
  </si>
  <si>
    <t>Se radico memorando SRR-M-245-2015 a la oficina Asesora de Planeación e información con fecha mayo 11 de 2015, con la matriz definitiva de solicitud de información. 
Se acuerda que la OAPI requiere la Información a las Entidades y suministra la Información a la SRR. A la Fecha se cuenta con información correspondiente al Departamento de Antioquia.</t>
  </si>
  <si>
    <t xml:space="preserve">La información se solicitó a través del grupo de asistencia técnica, a la fecha se cuenta con información de 20 municipios; esta información está siendo analizada, es importante aclarar que hay municipios que tienen datos muy generales como lo son los del departamento de Atlantico asi como hay otros como el caso de El Retiro Antioquia que cuenta con la información muy completa. </t>
  </si>
  <si>
    <t>Revisión, análisis y compilación de metodologías relacionadas con el análisis específico de riesgos y plan de contingencia.
Identificación preliminar de actores objeto de cumplimiento del Artículo 42.   Estructuración de documento bajo tabla de contenido preliminar.</t>
  </si>
  <si>
    <t>Esta actividad sólo se iniciaen septiembre,  una vez se construya el documento técnico.</t>
  </si>
  <si>
    <t>Esta actividad sólo se inicia cuando se valide con los comités y comisiones el documento técnico.</t>
  </si>
  <si>
    <t xml:space="preserve">Ninguno.  </t>
  </si>
  <si>
    <t>Ninguno.   Se aclara que es una actividad que lidera la Subdirección general y en la cual se involucran las 3 subdirrecciones misiones, OAJ y OAPI</t>
  </si>
  <si>
    <t>A enero 1 de 2015 se tenía programado un presupuesto de  $ 4.230.544.156 para adquisición de predios (valor comprometido a diciembre 31 de 2014  $ 3.396.542.974 +  $ 834.001.182 saldo sin comprometer de las cuentas 2701 y 270602). 
La ejecución de enero a mayo de 2015, es del 67,4 % ($ 2.850.223.542), referida únicamente a la adquisición de predios.</t>
  </si>
  <si>
    <t>Demora por parte de los usuarios, en la entrega de los predios a satisfacción del PGIR - AVG y en presentación de paz y salvos por concepto de servicios públicos</t>
  </si>
  <si>
    <t>El PGIR - AVG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el este Bimestre se realizaron 86 acompañamientos. (45 Mayo y 41 Junio)</t>
  </si>
  <si>
    <t xml:space="preserve">- El proceso de contratación para demoliciones, se declaró desierto; el PGIR - AVG remite nuevamente estudios previos ajustados; a la fecha en encuentran en revisión por el área de contratación de la UNGRD.
- En el momento que inicie la ejecución del contrato de demoliciones e interventora se medirá porcentualmente el respectivo avance.  
</t>
  </si>
  <si>
    <t xml:space="preserve">Durante Mayo de 2015 se dio terminación a los siguientes tres proyectos:
Bucaramanga, Santander, el 17 de Mayo de 2015 
Ospina, Nariño el 30 de Mayo de 2015 y
Nechi, Antioquia, el 31 de Mayo de 2015
Los siguentes proyectos tienen variación en su fecha de finalización toda vez que se les realizó adición de recursos:
Hatillo:  21-may-15 para el  21-Agos-15
Bochalema: 3-Jun-15 para el 3-Sep-15
Ayapel: 15-Jun-15 para el 15-Jul-15
En Junio finalizaron: 
Ancuya, Nariño (1 tramo del convenio suscrito con gobernación de Nariño), el 30 de Junio de 2015.
Taraza, el 15 de Junio de 2015.
La Celia, Risaralda, el 28 de Junio de 2015.
</t>
  </si>
  <si>
    <t>De acuerdo al formato para la consolidación de proyectos de vivienda formulado por el Arq. Mauricio Carvajal, Se continúa con la recopilación de proyectos de vivienda y se actualiza la matriz de consolidación para los proyectos de vivienda que son radicados ante la UNGRD, adicionalmente se está investigando la existencia de proyectos de vivienda radicados y su procedimiento desde la radicación del proyecto hasta su evaluación.</t>
  </si>
  <si>
    <t>Se recibieron (19) solicitudes de asesoría técnicas,  a las cuales se les dio el tramite respectivo, dando cumplimiento a los términos establecidos.</t>
  </si>
  <si>
    <t xml:space="preserve">En el tercer bimestre de 2015 se actualizó semanalmente la matriz, consignando todas las acciones adelantadas de los proyectos que se encuentran en estructuración, ejecución y en liquidación. </t>
  </si>
  <si>
    <t>Se gestionó ante la fiduprevisora, actas de cierre financiero de los proyectos, Juan de Acosta, Chimichagua, Santo Tomas y  San Jacinto</t>
  </si>
  <si>
    <t>Se radicaron 90 solicitudes en el periodo de Mayo-Junio, y se tramitaron en el mismo periodo 127, es decir que se gestionaron 37 proyectos que se tenian represados en el Banco de Proyectos.</t>
  </si>
  <si>
    <t xml:space="preserve">Se realizaron 48 asesorías presenciales, telefonicas y virtuales, en las cuales se emplearon 43 horas laborales. 
</t>
  </si>
  <si>
    <t>Se están realizando ajustes a los procedimientos de evaluación, priorización y seguimiento a proyectos. Los cuales se encuentran en versiones ajustadas.
El procedimiento de Seguimiento ya cuenta con una versión actualizada.</t>
  </si>
  <si>
    <t>Fue producida la versión 4 con el respectivo contenido para la formulación de proyectos de vivienda UNGRD, se desarrolló un equivalente al 70% del contenido de la guía con corte a junio 30 de 2015. 
Se realizó consulta a ministerio de vivienda, Fonade y FIDUPREVISORA, en cuanto a los documentos y aspectos normativos vigentes que rigen la supervisión, interventoría, desembolso de recursos y constructor. 
Se realizó sensibilización del producto ante el equipo de vivienda y de instrumentos de planificación de la Subdirección de Reducción del Riesgo de la UNGRD; sobre la cual, realizaron comentarios y sugerencias, se espera para el mediados del mes de julio emitir la versión 5 de la guía la cual tendrá en cuenta todos los ajustes y comentarios realizados por el equipo de profesionales citado.</t>
  </si>
  <si>
    <t>Se adelantaron reuniones y se envió correo electrónico con propuesta de trabajo para la Universidad de Manizales en el que se aclara el alcance del apoyo que se requiere. En respuesta del 04 de junio, me informa que el caso se tratará en la Universidad y se informará.
ESTUDIOS DE CASO BIOINGENIERIA –PAGINA WEB
Se hizo contacto vía correo electrónico con Liliana María Fuentes Osorio, Ingeniera Ambienta y sanitaria quien actualmente se encuentra cursando el primer semestre de Maestría en desarrollo Sostenible y Medio Ambiente en la Universidad de Manizales, por su interés en el tema de Gestión de riesgo se dirigió a la UNGRD a fin de solicitar información acerca de una posibilidad de proyecto de tesis, teniendo en cuenta que el contacto lo referencio la señora Juanita Jaramillo de la Subdirección de la Reducción del Riesgo</t>
  </si>
  <si>
    <t>Se trabajó en la elaboración de los estudios previos, se adelantaron reuniones virtuales para la aclaración y acuerdos en las obligaciones, así mismo se trabajó en la recopilación de los documentos soportes, finalmente el 01 de junio se radicó en la Fiduprevisora los estudios previos para el proyecto de Bioingeniería con objeto: “La Unidad Nacional de Gestión del Riesgo de Desastres en su calidad de Ordenador del gasto del FNGRD-,  El Municipio de Popayán –Cauca- y El Acueducto y Alcantarillado de Popayán S.A. AAPSA E.S.P., aúnar esfuerzos para la construcción de obras biomecánicas y obras complementarias con el fin de estabilizar zonas afectadas con movimientos en masa en la parte alta y media de la subcuenca del Río Molino”
El 22 de junio de 2015 se firmó el convenio y se suscribió acta de inicio el 02 de julio, a su vez que se llevó a cabo la primera reunión de comité para la firma de acta de inicio. 
En la actualidad el comité de supervisión trabaja en la revisión de: Cronograma de obra;
 y Plan de contratación de las obras, documentos que fueron enviados por la AAPSA. Lo anterior como preparación al primer comité de supervisión a celebrarse la semana siguiente en Popayán.</t>
  </si>
  <si>
    <t xml:space="preserve">En el mes de MAYO:
Se elaboró escrito: “La intervención prospectiva del riesgo de desastres” revisado y ajustado, como documento base para elaboración de comunicación UNGRD -Reflexiones sobre el Riesgo publicada en la página WEB de la UNGRD para entidades, medios y ciudadanía sobre importancia de la planificación en la reducción del riesgo presente o para evitar la generación de nuevo riesgo, a propósito de la calamidad pública por avenida torrencial en el Municipio de Salgar - Antioquia.
Se elaboró  documento de análisis del  instrumentos de planificación aplicables a Salgar - Antioquia, en  relación con  la integración de medidas de conocimiento y de reducción del riesgo con miras a proponer  su ajuste,  revisión, o complementación, a partir de la afectación y calamidad  decretada en Salgar por avenida torrencial que afectó  el 18 de mayo de 2015  al Municipio:  EOT,  PMGRD,   PDM, POMCA, DMI.  (Es  nueva línea de apoyo institucional a cargo de SRR -LIP).
En el mes de JUNIO:
Se elabora Documento de Recomendaciones del Comité Nacional de Reducción del Riesgo  sobre integración de medidas de reducción del riesgo en instrumentos de planificación y en específico para Salgar Antioquia se presentan  a Comisión Técnica y se envía a miembros del Comité. Se reciben observaciones de entidades miembros del Comité.     </t>
  </si>
  <si>
    <t>Demora en  recepción de observaciones de entidades del Comité a documento de Recomendaciones del Comité Nacional de Reducción del Riesgo  sobre integración de medidas de reducción del riesgo en instrumentos de planificación y en específico para Salgar Antioquia</t>
  </si>
  <si>
    <t xml:space="preserve">Se atendieron dentro de los términos legales, las solicitudes realizadas por entidades públicas del orden local y nacional; personas naturales y jurídicas; entes territoriales: municipios, distritos y departamentos.
MAYO: 35 Solicitudes.
JUNIO: 48 Solicitudes.
</t>
  </si>
  <si>
    <t>En el mes de MAYO:
Se adelantaron ajustes a observaciones UNGRD en relación con líneas transversales de gestión del riesgo y  cambio climático al documento “Forma y alcances del OT Departamental” : Reglamentación Art. 29 - LOOT elaborado por el MVCT-CEI COT.
En el mes de JUNIO:
Se asistió a jornada trabajo  CEI COT - Plan de Ordenamiento Territorial Departamental y Evaluación MVCT Plan de ordenamiento territorial de primera generación que incluye  la evaluación del estado de la gestión del riesgo en POTs</t>
  </si>
  <si>
    <t xml:space="preserve">En el mes de MAYO se desarrollaron las siguientes acciones:
• Listado ajustado  de acciones para la  integración de la Gestión del Riesgo de Desastres  en el ordenamiento Territorial Municipal.
• Reformulación de contenidos del capítulo 4, de la guía GRD-OT.
• Contenidos desarrollados para los todos los capítulos  de la Guía de integración de la Gestión del Riesgo  de Desastres en el Ordenamiento Territorial Municipal.
En el mes de JUNIO  se desarrollaron las siguientes acciones:
• Restructuración de  la estructura de  contenidos de los capítulos  7, 8 y 9.
• Reestructuración de  textos de  los capítulos 5 y 6.
• Reestructuración de  gráficos de  los capítulos 5 y  6.
• Reestructuración del  textos de  los capítulos 6,7,8 y 9.
• Producción de cartografía para 4 nuevas acciones de integración.
• Incorporación de nueva cartografía para el capítulo 7.
• Ajuste de cronograma de tiempo de revisión de la guía.
• Recepción e incorporación del capítulo 4 de conocimiento del riesgo.
• Recepción e incorporación de  las páginas sobre cambio climático en los capítulos 4 y 6.
• Incorporación del concepto de capacidad y soporte del suelo en los ámbitos rural y urbano. </t>
  </si>
  <si>
    <t>En el me de JUNIO se presentaron las siguientes dificultades: Se requirió de la edición de los contenidos enviados por el ministerio de ambiente y desarrollo Sostenible, lo que requirió dos semanas más de las previstas.</t>
  </si>
  <si>
    <t>En MAYO:
Actividades de identificación de regiones participantes y de costos del evento.
En JUNIO:
• Estructuración del evento del Grupo de Instrumentos de Planificación en  el marco de la celebración del mes internacional de la reducción de riesgo de desastres a realizarse en el mes de octubre de 2015. 
• Determinación y búsqueda de perfiles  de expertos internacionales y nacionales evento para el lanzamiento de la guía.
• Visita de inspección a instalaciones de Maloka como posible sede para el  foro internacional “Reducir el riesgo nuestra mejor opción.
• Actividades de preparación del Foro “Reducir el riesgo nuestra mejor opción: día 1  “El riesgo de desastres como determinante del ordenamiento del territorio”</t>
  </si>
  <si>
    <t>En MAYO:
No se  solicitaron por parte del DNP ajustes a documento enviado por la UNGRD. 
En JUNIO:
• Se realizó  la lectura analítica del documento Marco de acción de Sendai e identificación de información  clave para la línea de intervención prospectiva.
•  Se comenzó a Desarrollar el texto que Incorporen el discurso del marco de Sendai en la guía de GRD en PMD.</t>
  </si>
  <si>
    <t xml:space="preserve">En junio:
Para poder incorporar el discurso del  Marco de acción de Sendai, hubo que esperar que se expidiera por parte de la ONU la traducción oficial al español, la cual salió a principios de junio de 2015.
</t>
  </si>
  <si>
    <t xml:space="preserve">En el mes de MAYO se desarrollaron las siguientes acciones:
1.  Asistencia a comités técnicos. 
2. Se apoyó la revisión y ajuste de estudios previos para contratación de equipos técnicos de Gobernación y Alcaldía que finalicen productos pendientes del Convenio (conforme estrategia planteada por el Comité Técnico del Convenio se decidió estructurar equipos técnicos más pequeños que desarrollen el último producto del Convenio que se relaciona con la construcción de modelos de ordenamiento de las cada isla). 
3.  Se elaboró informe de gestión del Convenio, este  informe da cuenta de  la gestión UNGRD a la fecha  (conforme compromisos del plan de acción se entrega en la fecha propuesta). 
En el mes de JUNIO se desarrollaron las siguientes acciones:
1.  Asistencia a comités técnicos. 
2. Se apoyó la revisión y ajuste de estudios previos para contratación de equipos técnicos de Gobernación y Alcaldía que finalicen productos pendientes del Convenio (conforme estrategia planteada por el Comité Técnico del Convenio se decidió estructurar equipos técnicos más pequeños que desarrollen el último producto del Convenio que se relaciona con la construcción de modelos de ordenamiento de cada isla) 
2.  Se apoyó gestión prórroga del Convenio ( otro si firmado 25 junio) </t>
  </si>
  <si>
    <t>En el mes de MAYO se presentaron las siguientes dificultades:
Incumplimiento en la entrega de informes de gestión de IGAC, Coralina e INCODER.  Ante esta situación en comité  Técnico del 29 de mayo de 2015 se solicita a supervisores  enviar oficios a entidades solicitando el cumplimiento de compromisos establecidos en el Comité Técnico.
En el mes de JUNIO  no se reportan dificultades.</t>
  </si>
  <si>
    <t xml:space="preserve">En Mayo 
Se elabora informe de Seguimiento Contractual del Convenio correspondiente al mes de mayo para la Subdirectora de Reducción del Riesgo.  Se recibe solicitud de Secretaria General memorando GGC-M-0085 del 14 de Mayo de 2015 - Contratos y/o Convenios pendientes por liquidar,- para efectuar la liquidación del Convenio. 
En Junio
• Con fecha 9 de junio de 2015 el Director de Planeación del Municipio de La Florida envió documentos soportes para liquidación: Documentos técnicos del EOT que se van a radicar a Corponariño (a la fecha de este Memorando no se han hecho radicación oficial por ajustes técnicos que le hacen a los mismos, balance financiero a esa fecha, informe de uso de recursos del FNGRD y del Municipio destinados al convenio a la fecha, relación de gastos a la fecha, comprobante de pagos al Contratista, extractos bancarios; los documentos no se entregan aún cerrados, por lo expuesto arriba sobre las obligaciones del Contratista de la cual se derivan pagos al mismo y por tanto no pueden adelantar el cierre de la cuenta bancaria creada para el Convenio y remitir certificación donde conste que la cuenta destinada para el manejo de los recursos aportados por el FNGRD se encuentra cerrada; así mediante Certificación de la Tesorera del Municipio de La Florida informa que “a la fecha no se puede adelantar el cierre de la Cta Cte No 039-10405-4… la cual maneja recursos pertenecientes al convenio No 9677-04-1132-2013 ... puesto que existe    una cuenta por pagar según Resolución No 004 del 9 de enero de 2015…”  
Con fecha 24 de junio se envía MEMORANDO  SRR-M-307-2015 a Secretaria General UNGRD en respuesta a Memorando GGC –M-0085 del 14 de Mayo de 2015 - Contratos y/o Convenios pendientes por liquidar, caso Convenio No 9677-04-1132-2013 FNGRD Alcaldía Municipal de La Florida EOT La Florida, en donde se resumen las actividades adelantadas a la fecha en  cumplimiento del Convenio y se indica  la no posibilidad de adelantar en este momento  la liquidación del Convenio de la referencia.   </t>
  </si>
  <si>
    <t xml:space="preserve">• Dado que aún está pendiente adelantar la Concertación de Asuntos Ambientales del EOT de La Florida con CORPONARIÑO no se puede radicar al Concejo Municipal de La Florida el mismo, ni  adoptar el EOT por dicha Corporación, labor que en acompañamiento a la Administración es parte de las obligaciones del Consultor, con lo cual se amarra el pago final al mismo a dicha gestión, por lo que el Municipio no puede entregar la información solicitada para liquidar el Convenio.   
• Con fecha 12 de junio de 2015 se consulta al  Coordinador (E) del  Grupo de Contratación, sobre esta situación, contextualizándolo de los antecedentes aquí presentados, a partir de lo cual me indicó que mediante Memorando indique a la Secretaria General de la UNGRD la no posibilidad de adelantar en este momento  la liquidación del Convenio de la referencia. </t>
  </si>
  <si>
    <t>En el mes de MAYO se adelantaron las siguientes acciones:
1. Respecto a la información recopilada por municipios, se obtuvo información de ocho municipios. así  
• ANTIOQUIA 1
• ATLANTICO 3
• QUINDIO 4 
Con los 8 municipios adelantados, se completa la meta de municipios con información recopilada la cual corresponde a estudios técnicos y a Planes de Ordenamiento Territorial , Planes Municipales de Gestión del Riesgo, Planes Municipales de Desarrollo, y otros instrumentos de planificación (POMCA, Planes de Acción). De acuerdo con lo encontrado, en algunos municipios no se han formulado todos los instrumentos citados, por lo que la información recopilada está en proceso de consolidación y validación, de manera que se tenga un balance de la información, por municipio.
2.Respecto a la elaboración del documento que consolidará los diagnósticos de línea base se han hecho los siguientes avances:  
a) 14 Talleres Municipales en los municipios de Paipa, Oicatá, Soracá, Motavita, Nobsa, Tuta, Tibasosa, Cómbita, Circasia, Quimbaya,  Marinilla, Guarne,  Tubara y Galapa en los que asistieron, este tipo de entidades:
• Unidad Departamental de Gestión del Riesgo de Boyacá, Quindío y Consejos Municipales de Gestión del Riesgo 
• Secretaría Departamental de Planeación, Asesores Departamentales de Gestión del Riesgo (Quindío)
• Funcionarios de las Alcaldías municipales , Secretarías de Planeación, Gobierno, Desarrollo Agropecuario, Salud
• CORPOBOYACÁ, CORPORACIÓN AUTONOMA REGIONAL DEL QUINDIO ,CORNARE, CRA ATLÁNTICO
• Delegados de EFIGAS
• Ejército Nacional, Bomberos, Cruz Roja Defensa Civil
• Personería, 
A estas reuniones asistieron 74 personas
b) Se inició el proceso de evaluación de integración de la Gestión del Riesgo en los Planes de Ordenamiento Territorial, adelantado las siguientes actividades:
•Diligenciamiento del formato de evaluación para los municipios de Cerrito, Guarne, y Palmar de Varela,
•Identificación de problemas y dificultades en el proceso de diligenciamiento
•Ajuste al formato de evaluación conforme a las dificultades presentadas. 
En el mes de JUNIO  se adelantaron las siguientes acciones:
1. Respecto a la información recopilada por municipios, a pesar que se cumplió con la meta establecida en el mes de mayo, se está verificando la información recopilada con el fin de identificar información complementaria que puede ser requerida.
2. Respecto a la elaboración del documento que consolidará los diagnósticos de línea base se han hecho los siguientes avances:  
a) Se cuenta con avances en el diligenciamiento de los formularios de El Cerrito (Valle), Guarne (Antioquia), Villamaría (Caldas), Santa Rosa de Cabal (Risaralda) , Galapa, Palmar de Varela (Atlántico), Ciénaga (Magdalena)
b) Se está avanzando en la identificación de información de los  municipios de Guacarí (Valle), Zulia, Villa del Rosario (Norte de Santander), Montenegro, Quimbaya, Circasia (Quindio), Tubará, Polonuevo, Santo Tomas ,Pueblo Viejo (Atlántico)
c) Se han realizado ajustes al formato de evaluación con el fin de hacerlo más concreto  .
d) Se han realizado avances en una plantilla a partir de la cual se elaborarán los documentos de línea base,  teniendo en cuenta los resultados de presentados en los formatos de evaluación, por cada municipio.</t>
  </si>
  <si>
    <t>En el mes de MAYO se presentaron las siguientes dificultades:
•Se presenta dificultades en la recopilación de información debido a que en el proceso de consolidación y verificación de la información,  se está encontrando que la información entregada presenta vacíos o está incompleta.
•Se ha requerido ajustar los formatos de evaluación, de  manera que permita agilizar y hacer más sencillo el proceso de evaluación, conforme a la información de los instrumentos evaluados
En el mes de JUNIO se presentaron las siguientes dificultades:
•Se han encontrado dificultades en la aplicación de las preguntas que hacen parte de  los formatos en los planes de ordenamiento territorial. Se ha requerido ajustar los formatos de evaluación, de  manera que permita agilizar y hacer más sencillo el proceso de evaluación, conforme a la información de los instrumentos evaluados</t>
  </si>
  <si>
    <t>Se elaborarán los documentos de Lineamientos a partir del mes de agosto a noviembre  de 2015</t>
  </si>
  <si>
    <t>Se circuló documento que contiene el portafolio de entidades de entidades del sector vivienda. En la actualidad el Ministerio de Agricultura y Desarrollo Rural está ajustando la norma de vivienda rural, una vez sea expedida la citada norma se procederá a realizar los respectivos ajustes. Se elaboró un documento EQUIPO DE VIVIENDA UNGRD, el cual contiene objetivos, alcance, estructura organizacional y los diferentes programas que actualmente tiene la SRR en el área de vivienda. El documento se circuló  al equipo SRR, se están realizando ajustes respectivos de acuerdo a comentarios realizados por la Subdirectora de la SRR.</t>
  </si>
  <si>
    <t xml:space="preserve">Se realizaron los Estudios Previos para el Convenio de Asociación entre FNGRD y  EL  DEPARTAMENTO DE GEOGRAFÍA DE LA UNIVERSIDAD NACIONAL DE COLOMBIA  con el fin de aunar esfuerzos para generar insumos técnicos sobre el abordaje de la adaptación a la variabilidad y cambio climático en la Gestión del Riesgo de Desastres, en el marco de la Ley 1523 de 2012 y el Marco de Sendai 2015-2030, los cuales fueron validados con la Universidad Nacional.
Se realizaron gestiones pertinentes para solicitar Certificado de Disponibilidad Presupuestal por $75.000.000 para la realización del Convenio.
Se solicitó a la Universidad todos los documentos necesarios para tramitar la elaboración de la Minuta del Convenio. </t>
  </si>
  <si>
    <t xml:space="preserve">Dentro de los documentos enviados por la Universidad Nacional para iniciar la elaboración de la Minuta aún falta 1 documento: Hoja de vida de la persona jurídica.
La Universidad Nacional se encuentra en periodo de vacaciones y hasta el 31 de Julio que realicen Comité, por parte de ellos enviaran el documento faltante. </t>
  </si>
  <si>
    <t xml:space="preserve">El 6 de mayo se asistió a Comité Técnico del Plan Integral de Cambio Climático -PICC- de Boyacá liderado por el CDGRD de Boyacá para la formulación del PICC Boyacá.
El 9 de Mayo se asistió a reunión liderada por UPME para revisar y validar  las medidas de adaptación del sector energético junto con el sector como insumo al Plan de Adaptación del Sector Energético.
Junto con el equipo de instrumentos de planificación se envió a MADS y DNP, formato para incluir, una vez validado al interior de la UNGRD, CC en la Guía de Incorporación de GRD en el OT. Mayo 4
El 19 de Junio se participó en Reunión PNACC con el fin de revisar insumos (comparación escenarios de cambio climático de 2010 y Nuevos Escenarios de CC para Colombia 2015-2100)  para la actualización del diagnóstico del PNACC. 
Se participó en Reunión PNACC con el fin de apoyar la construcción de la Contribución Nacionalmente Determinada –INDC- en Adaptación, los cuales son acciones que Colombia se compromete a realizar en Adaptación pre 2020 y post 2020. Junio 30
Junto con el equipo PNACC se entregó insumo para incorporar CC en la Guia de Integración de GRD y OT liderada por la Linea de Instrumentos de Planificación de la SRR. </t>
  </si>
  <si>
    <t xml:space="preserve">Se realiza seguimiento contractual a través de Comités Técnico Informe de seguimiento contractual de los Convenios:
- Convenio No. 9677-04-898-2013: Sistema de alerta temprana ante eventos climáticos extremos en la cuenca de los ríos Zulia y Pamplonita. Departamento de Norte de Santander. Se realizó visita técnica a Norte de Santander para revisar funcionamiento SAT. Preparación Inauguración Centro de Alerta Local de Durania a realizarse el 17 de Julio.
- Convenio No. 9677-04-1047-2013: Adaptación Urbana "Verde" frente a Inundaciones con el soporte de la Modelación Matemática y del Software MODCEL en Riohacha-La Guajira. Se realizó CT el 11 de Mayo para seguimiento del predio a seleccionar para la obra piloto, así como el Otro Si que se tramitó ante Fiduprevisora para modificar desembolsos por parte de la Alcaldía a la Fundación. Se realizó seguimiento al Otro Sí el cual modificaba Clausula Octava: Desembolsos  por parte del Municipio de Riohacha a la Fundación CREACUA. 
</t>
  </si>
  <si>
    <t>El Convenio No. 9677-04-1047-2013: Adaptación Urbana "Verde" frente a Inundaciones con el soporte de la Modelación Matemática y del Software MODCEL en Riohacha-La Guajira presenta retraso físico ya que aún no se ha realizado Otro Si por parte de Fiduprevisora para que el Municipio pueda realizar el primer desembolso a la Fundación. El Otro Sí fue perfeccionado el 29 de Mayo y a 30 de Junio el Municipio no ha realizado el  Desembolso por valor de $48.000.000 El predio en donde se realizará la obra piloto aún no ha sido legalizado por el Municipio a fecha de 30 de Junio.</t>
  </si>
  <si>
    <t>Se realizan Comités Técnicos de seguimiento al Contrato 9677-PPAL001-029-2015 para la realización de 1 juego y 1 video de GRD y ACC. El contrato se encuentra en Fase de Preproducción con  VoBo del Director General y Subdirectora Reducción del Riesgo. (Mayo 5 y 28 y Junio 19)</t>
  </si>
  <si>
    <t>Participación en la elaboración de la posición de Colombia en lo correspondiente a Adaptación frente a las Negociaciones de Cambio Climático en Diciembre de 2015 frente al nuevo Acuerdo de CC y la revisión del texto Oficial de Negociación bajo la Convención Marco de Naciones Unidas de CC. Mayo
Participación como parte de la delegación colombiana en la “Reunión Intersesional de Estados parte de la Convención Marco de las Naciones Unidas sobre el Cambio Climático -CMNUCC-”, la cual se realizó desde el 4 hasta el 12 de junio, en la ciudad de Bonn, Alemania. Esta reunión es preparatoria a las Negociaciones de Cambio Climático a realizarse en Diciembre de 2015.
Participación en Mesa Interinstitucional para la validación técnica de la herramienta de diagnóstico para entender el vínculo entre Migración, medio ambiente y cambio climático, liderada por OIM. Junio 23</t>
  </si>
  <si>
    <t>Se apoyó en la Respuesta a Procurador Delegado para Asuntos Ambientales y Agrarios sobre Solicitud Información geográfica por municipio de impacto de eventos climáticos extremos. Mayo 7
Se apoyó en el diligenciamiento de la Matriz de análisis normativo insumo para la Política General de Ordenamiento Territorial -PGOT-enviada por  CEI-COT, con ajustes al tema de Adaptación al Cambio Climático. Mayo 5
Se dio respuesta a la Alcaldía de Soacha al Oficio No. 2015ER4080 solicitando información para el formulación del Plan de Adaptación al CC de Soacha. Mayo 22
Se dio respuesta a IDEAM con relación a Solicitud de Información proyectos ACC implementados por la UNGRD. Junio 2
Participación en Mesa Técnica Interinstitucional para la validación técnica de la herramienta de diagnóstico para entender el vínculo  entre  migración, medio ambiente y cambio climático. Consultoría OIM. Junio 23 
Se dio respuesta a Econometris Consultores sobre solicitud de Información proyectos de adaptación y mitigación del riesgo. Junio 23</t>
  </si>
  <si>
    <t>Revisión de antecedentes nacionales sobre reasentamiento, para estructurar el proceso de identificación de variables sociales. Para esto se diseñó una matriz para consolidar información documental relacionada. 
Se acordó plan de trabajo con la Universidad de Manizales para avanzar en esta acción.</t>
  </si>
  <si>
    <t>Pendiente firma de convenio específico para iniciar formalmente con la Universidad de Manizales.</t>
  </si>
  <si>
    <t>Se dio asesoría al Consejo Distrital para la Gestión del Riesgo de Desastres de Barranquilla en el proceso de formulación de un plan para personas con discapacidad.
Se brindó asesoría a la Subdirección de Manejo de Desastres respecto al abordaje comunitario en el marco de las acciones frente a riesgo volcánico en Cumbal, Nariño.
Se brindó asesoría técnica a profesionales del PGIR-AVG sobre abordaje comunitario de cara al simulacro binacional en Cumbal, Nariño.
Los eventos que se tenian programados no fueron priorizados por tal razon se deben liberar los recursos presupuestados.</t>
  </si>
  <si>
    <t>Se identificaron los parámetros para el estudio sobre "Estado actual de la participación social y comunitaria en las instancias territoriales de gestión del riesgo", que se realizará en el marco del Convenio con la Universidad de Manizales. Se cuenta con propuesta inicial de la Universidad y plan de trabajo conjunto para este estudio.</t>
  </si>
  <si>
    <t>Se realizó una reunión de la mesa de enfoque diferencial y de género en la cual se siguió avanzando en la identificación de aspectos clave sobre discapacidad y gestión del riesgo de desastres.
Se inició diálogo con Ministerio de Salud para convocatoria a entidades del Consejo Nacional de Discapacidad.</t>
  </si>
  <si>
    <t>La realización de mesas interinstitucionales fue aprobada por la Dirección General a finales del mes de mayo.</t>
  </si>
  <si>
    <t>Se propusieron dos talleres regionales en el marco de los acuerdos binacionales con Ecuador y Perú, los cuales se están estructurando actualmente.</t>
  </si>
  <si>
    <t>La Dirección General aprobó estos eventos a finales del mes de mayo, por lo cual apenas se está iniciando su gestión.</t>
  </si>
  <si>
    <t>Se cuenta con una versión ajustada de los TdR del Mes de la RRD, conforme a las indicaciones dadas desde la Dirección General.</t>
  </si>
  <si>
    <t>Se ha avanzado en la gestión interna (OAC, Cooperación Internacional) y planeación logística para la realización de los eventos propuestos para el Mes de la RRD.</t>
  </si>
  <si>
    <t>La propuesta fue ajustada y aprobada por la Dirección General a finales del mes de mayo.</t>
  </si>
  <si>
    <t>Mayo: Actualización 9, el 22/05/2015, sobre reunión CNARIT; Actualización 10, el 25/05/2015, sobre la intervención prospectiva del riesgo de desastres; Actualización 11, el 29/05/2015, sobre la nueva mesa interinstitucional de protección financiera.
Junio: Actualización 12, el 03/06/2015, sobre la socialización del Plan de Respuesta y Recuperación en el Municipio de Salgar (Antioquia) a los Comités Nacionales de Reducción y Conocimiento del Riesgo.</t>
  </si>
  <si>
    <t>- Se  instaló oficialmente la Mesa Interinstitucional de trabajo para el tema de Protección Financiera, quedando conformada por las siguientes entidades: FASECOLDA, MHCP, DNP y UNGRD. En la primera sesión se definió un cronograma detallado, en el marco de tres líneas de trabajo gruesas: a) Aseguramiento de bienes estatales: Apoyo a la educación sobre aseguramiento para tomadores de decisión en los territorios; b) Estrategia de protección financiera para el país: Apoyo para la promoción de una cultura de transferencia de riesgo del Estado, y c) Seguros Sector Agropecuario: Apoyo en la identificación de líneas de aseguramiento para el sector.     
- Al oficio enviado a la Viceministra General del MHCP, se obtuvo respuesta positiva y fueron designados oficialmente el Subdirector Técnico, Andrés Ricardo Quevedo Caro y la Asesora de la Viceministra General, Yenifer Alejandra Barragán Rojas, quienes conformarán la mesa de trabajo en Protección Financiera, por parte del Ministerio.    
- Se coordinó presentación  a los miembros del Comité Directivo, por parte de Fasecolda en los temas: a) Intercambio de información entre el sector asegurador y la UNGRD y, b) Protocolo de actuación Ajustadores en la ocurrencia de un evento catastrófico.   
- Se participó en la sesión de trabajo conjunta entre MHCP, DNP, CCE, UNGRD, BM y SECO, referente a la misión de seguimiento del proyecto DRFI (Financiamiento del Riesgo de Desastres y Aseguramiento), sesión  a la que asistió también un funcionario del Fondo de Adaptación; en la sesión se revisaron los avances y pasos a seguir en temas como: a) Pasos para implementar acuerdos marco para el aseguramiento de edificaciones públicas, b) Términos y condiciones estándar para el aseguramiento de edificaciones públicas a ser construidas bajo el esquema de APP´s, c) Lineamientos para mejorar el nivel de aseguramiento de los bienes públicos del nivel territorial, d) Presentación del portafolio de instrumentos financieros que el BM ofrece para reducir vulnerabilidad fiscal a los países ante la ocurrencia de un desastre, e) Avances en la reglamentación del FNGRD, f) Propuesta de taller sobre aseguramiento (territoriales).</t>
  </si>
  <si>
    <t>- La versión corregida del documento fue entregada al Subdirector General para última revisión, corrección -si es necesario- y publicación; 
- Se presentó versión actualizada del documento a los miembros de la Mesa Interinstitucional de trabajo en Protección Financiera, con el fin de articular el instrumento con las actividades definidas en el marco de acción de la mesa.
- Se dialogó con el Ministerio de Hacienda y Crédito Público, para que en el marco del taller sobre aseguramiento a representantes de entidades territoriales que está programando, sea un espacio que se aproveche para entregar el documento guía.</t>
  </si>
  <si>
    <t>- Disposición de tiempo por parte del Subdirector General para revisión de documento y aprobación de publicación o sugerir últimos ajustes.</t>
  </si>
  <si>
    <t>No se han solicitado actualizaciones a los riesgos Identificados</t>
  </si>
  <si>
    <t>No se ha requerido la realización de ningún plan de mejoramiento</t>
  </si>
  <si>
    <t>El seguimiento se realiza trimestralmente, se debe tener en cuenta que se recibió memorando SCR-2015-0057 de la Subdirección de Conocimiento donde se indica que la SRR debe reportar los avances frente a los Hallazgo H8A8D6 y H5A5 del informe de policía publica 2014; teniendo en cuenta que la acción de mejora formulada fue: “Elaboración de guía de integración de gestión del riesgo en el ordenamiento territorial municipal”</t>
  </si>
  <si>
    <t>Se asistió a reuniones de lideres SIPLAG convocadas por la OAPI los días 28 de Mayo  y 26 de Junio de 2015.</t>
  </si>
  <si>
    <t>Los días 5 de Mayo y 24 de Junio de 2015 se realizaron las reuniones de socialización de los temas más relevantes y tratados durante Abril y Mayo de 2015, la divulgación se hizo a los líderes de la Subdirección para la Reducción del Riesgo.</t>
  </si>
  <si>
    <t xml:space="preserve">%CUMPLIMIENTO PA A JUNIO </t>
  </si>
  <si>
    <t>El PECI ha sido validado por Cancillería y APC Colombia, ha sido firmado por la UNGRD y está en proceso de firma en APC  y Cancillería.</t>
  </si>
  <si>
    <t>Se ha establecido contacto con la Universidad de Los Andes y estamos en espera de una respuesta por parte de ellos para concretar el acuerdo</t>
  </si>
  <si>
    <t>La Universidad de Los Andes no ha dado una respuesta aún para concretar el acuerdo</t>
  </si>
  <si>
    <t xml:space="preserve">El próximo convenio a vencerse es con la Fundacióin Pies Descalzos el cual se renovará después de agosto. El convebio con el Ejército Nacional se venció pero no se ha determinado renovación </t>
  </si>
  <si>
    <t>Hay Planes de Acción ya consolidados con organizaciones: OFDA- OXFAM - PMA y  con la Universidad de Manizales, de igual forma que en el sector privado. Los planes en construcción los tenemos con países: Peru, Ecuador, Argentina.</t>
  </si>
  <si>
    <t xml:space="preserve">Hay 5 proyectos formulados y 1 aprobados, los cuales son financiados por cooperantes internacionales como JICA y ECHO:        
a) Asesor para el análisis estratégico de 
la implementación de la política en 
gestión del riesgo de desastres.
                                                                              </t>
  </si>
  <si>
    <t>En donde se va a hacer : poner los nombres de todos,</t>
  </si>
  <si>
    <t xml:space="preserve">a) III Reunión Binacional Colombia - Ecuador en GRD
b) Lanzamiento del informe de evaluación global sobre la Reducción de Riesgo de Desastres- GAR </t>
  </si>
  <si>
    <t xml:space="preserve">Participación en 6 eventos:
a) Consulta Regional para América Latina y el Caribe de Preparación para la Cumbre Mundial Humanitaria del 2016.
b) Taller GEM-SARA Evaluacion Integrada del Riesgo Sismico.
C) Curso de Induccion del Equipo de Naciones Unidas de Evaluación y Coordinación.
d) X Reunion del Grupo Intergubernamental de Coordinacion del Sistema de Alerta.                                                                                                               e)42° Reunion Convencion Marco Naciones Unidas sobre Cambio Climatico                                                                                                                                   f)Reunion Anual de Asistencia Humanitaria
</t>
  </si>
  <si>
    <t xml:space="preserve">Hubo reuniones entre las áreas jurídicas entre la DIAN y la UNGRD para la inclusión de temas prioritarios dentro del estatuto aduanero en relación a la facilitación para la Cooperación Internacional  en situaciones de emergencia </t>
  </si>
  <si>
    <t>III Encuentro Binacional Colombia - Ecuador en Gestión del Riesgo de Desastres.</t>
  </si>
  <si>
    <t xml:space="preserve">Se capacitarón 48 personas en los eventos: 
a) Curso de formación de protocolo SIBRU.
b) Taller sala de crisis para el departamento del Cauca.
c) Taller: Herramientas de manejo de información.
d)  Capacitación de OpenStreetMap (OSM).
e) Taller GEM-SARA Evaluacion Integrada del Riesgo Sismico .                  f) Curso de Induccion del Equipo de Naciones Unidas de Evaluación y coordinación.                                                                                          </t>
  </si>
  <si>
    <t>Se realizaron los Planes de Mejoramiento de acuerdo a las observaciones de los entes de control.</t>
  </si>
  <si>
    <t>Si se ha asistido a todas las reuniones del equipo SIPLAG</t>
  </si>
  <si>
    <t>Se ha realizado la retroalimentación al interior del equipo del área de cooperación.</t>
  </si>
  <si>
    <t>Se realizó la medición de los indicadores hasta el mes de junio.</t>
  </si>
  <si>
    <t xml:space="preserve">se ha realizado el seguimiento con la  orden de pago de cada uno de los contratos. </t>
  </si>
  <si>
    <t xml:space="preserve">a junio 30 de junio se realizarón 7 reembolsos de caja menor de gastos generales </t>
  </si>
  <si>
    <t xml:space="preserve">A 30 de junio se ha realizado el requerimiento de 22 contratos  entre prestación de servivios personales y adquisición de bienes y/o  servicios </t>
  </si>
  <si>
    <t xml:space="preserve">Se elaboró un protocolo preliminar de limpieza en archivos de gestión lo cual haceparte del Programa de Conservación.  </t>
  </si>
  <si>
    <t xml:space="preserve">no es dificultad no retraso, simplemente se está trabajando por temas, una vez se evacue un tema se continua con el siguiente. </t>
  </si>
  <si>
    <t xml:space="preserve">La polictica se encuentra publicada en neogestión </t>
  </si>
  <si>
    <t xml:space="preserve">a partir del mes de julio se convocará a los Talleres de implementación de tablas de retención documental y se  socializará la Politica de gestión Documental en los mismos. </t>
  </si>
  <si>
    <t xml:space="preserve">Se realizó la identificación de los bienes con deterioro y obsolecencia los cuales se presentarán para  el Comité de Bienes en el mes de Julio de 2015, con el fin de lograr la baja de los mismos. </t>
  </si>
  <si>
    <t xml:space="preserve">mensualmente se mantiene actualizado el control de elementos y se remite el Reporte Consolidado al Area Financiera y Contable de acuerdo al calendario establecido para tal fin. </t>
  </si>
  <si>
    <t>Bimensualmente se consolida  el consumo de papel por areas y se envia a la OAPI</t>
  </si>
  <si>
    <t>No contabamos con personal para realizar la actividad.</t>
  </si>
  <si>
    <t xml:space="preserve">los lideres SIPLAG han asistido a todas las reuniones mensuales programadas. </t>
  </si>
  <si>
    <t>mensualmente se realiza la reunión de retroalimentación frente a los avances del SIPLAG por parte de los lideres SIPLAG del Grupo de Apoyo Administrativo.</t>
  </si>
  <si>
    <t xml:space="preserve">el  cargue de indicadores de perioricidad mensual y trimestral se encuentran  publicados en neogestón al dia. </t>
  </si>
  <si>
    <t>El mapa de riesgos por procesos está actualizado se ha venido trabajando en el tema con la OAPI</t>
  </si>
  <si>
    <t>Se solucionaron todos los apoyos solicitados por los funcionarios y contratistas en cuanto a soporte de software y hardware</t>
  </si>
  <si>
    <t>El contrato para el alquiler  de los canales de internet para la UNGRD y sala de crisis esta vigente hasta el 19 de julio de 2015 con la firma IFX. Al tiempo se esta realizando la implementación y configuración de los canales de internet con el proveedor Level3 quien se gano la subasta a través del AMP.</t>
  </si>
  <si>
    <t>Contrato UNGRD-74-2015 y otrosi No. 1</t>
  </si>
  <si>
    <t>Se encuenran configurados e instalados 4 servidores en el data center ubicado en la zona franca de fontibon, los cuales contienen algunos de los sistemas de información de la UNGRD.</t>
  </si>
  <si>
    <t>Adición y prorroga al contrato 9677-04-236-2014 celebrado entre el FNGRD e IFX NETWORKS por 6 (seis) meses a partir del 16 de mayo de 2015 y por un valor de 60 millones de pesos.</t>
  </si>
  <si>
    <t>Se tiene configurada la plataforma a traves de Google Apps</t>
  </si>
  <si>
    <t>Contrato UNGRD-70-2015</t>
  </si>
  <si>
    <t>Se realizo estudio de mercado, se tienen os estudios previos y se encuentra en tramite por parte de financiera el CDP.</t>
  </si>
  <si>
    <t>En el momento se realiza la supervisión de 6 contratos: Canales de Internet, Colocation, Correo a traves de Google apps, alquiler de equipos de computo y dos profesionales de soporte</t>
  </si>
  <si>
    <t>Se realiza la aplicación de parches para los servidores  con el cual se garantiza la actualización del sistema y se verifica a traves del visor de eventos diariamente el optimo funcionamiento de los mismos</t>
  </si>
  <si>
    <t>Se realiza  las copias de seguridad incremental de la iformación de lunes a viernes.</t>
  </si>
  <si>
    <t>Se realiza la copia mensual de la información del servidor de archivos a  discos externos.</t>
  </si>
  <si>
    <t xml:space="preserve">A través de un software de gestión se realiza el monitoreo de la red y servidores diariamente. </t>
  </si>
  <si>
    <t>Se realiza verificación del funcionamiento de los canales de internet a través de la plataforma web suministrada por el proveedor.</t>
  </si>
  <si>
    <t>Se administra la configuración de todos los correos a traves del administrador de google y se realizan las copias de los usuarios que ya no estan en la entidad. En la actualidad se tienen 473 cuentas configuradas.</t>
  </si>
  <si>
    <t>Se  realiza la administración de la plataforma inalambrica a través de la herramienta de  monitoreo que se tiene para esta actividad.</t>
  </si>
  <si>
    <t>Se monitorea a través del administrador de la herramienta PCSecure todas las estaciones clientes de la Unidad. Se realizó contrato para la adquisición de 200 licencias adicionales a las 300 ya existentes.</t>
  </si>
  <si>
    <t xml:space="preserve">la falta de personal de apoyo dificulto la realizacion de las actividades, por lo cual cambioamos fecha para realizar la actividad.  </t>
  </si>
  <si>
    <t>con el apoyo de la  OCI se actualizó el mapa de riesgos y se realizo el primer seguimeinto</t>
  </si>
  <si>
    <t xml:space="preserve">se realiza la divulgación de la linea gratuita 018000113200a través de la página  de la entidad. </t>
  </si>
  <si>
    <t xml:space="preserve">se enviará en julio para que se evalue  a 30 de junio. </t>
  </si>
  <si>
    <t xml:space="preserve">la publicación se realiza en julio toda vez que la periodicidad  corresponde a los meses de abril a junio. </t>
  </si>
  <si>
    <t>Se realizó</t>
  </si>
  <si>
    <t>SUMAS LOGROS A JUNIO</t>
  </si>
  <si>
    <t>Se realizaron los ajustes solicitados</t>
  </si>
  <si>
    <t>Se realizaron los ajustes solicitados. Se esta gestionando la instalacion en un nuevo servidor para migrar la informacion de años anteriores.</t>
  </si>
  <si>
    <t>Adicionalmente se socializo el proceso de legalizacion y seguimiento a la aplicación.</t>
  </si>
  <si>
    <t>Se cumplio con los debidos reportes semanales.</t>
  </si>
  <si>
    <t>Se cumplio con los requerimientos semanales.</t>
  </si>
  <si>
    <t>Se realizaron 175 pagos en Mayo y 177 en Junio.</t>
  </si>
  <si>
    <t>Se elaboraron 29 CDPs en Mayo y 16 en Junio.</t>
  </si>
  <si>
    <t>Para Mayo y Junio hay un total de 17.</t>
  </si>
  <si>
    <t>Se elaboraron 123 para Mayo y 90 para Junio</t>
  </si>
  <si>
    <t>Se registraron 173 para mayo y Junio 178.</t>
  </si>
  <si>
    <t xml:space="preserve">Se tiene el mimsmo numero que obligaciones. </t>
  </si>
  <si>
    <t>Se cumplio</t>
  </si>
  <si>
    <t>Reporte se presentara en Julio.</t>
  </si>
  <si>
    <t>Publicados en la Pagina.</t>
  </si>
  <si>
    <t>Se presento el informe el 15 de mayo.</t>
  </si>
  <si>
    <t>Se modifico la fecha para agosto.</t>
  </si>
  <si>
    <t>Mayo y Junio</t>
  </si>
  <si>
    <t>En Mayo se asistio a 1 capacitacion.</t>
  </si>
  <si>
    <t xml:space="preserve">Se realizo la actualizacion el 23 de abril. </t>
  </si>
  <si>
    <t xml:space="preserve">Se realizo  el 14 de abril. </t>
  </si>
  <si>
    <t xml:space="preserve">Se realizaron: Mayo FIDUSAP 312, y en Junio 374. Por LOBO 187 Mayo y 213 Junio. </t>
  </si>
  <si>
    <t>Emilse Peña y
Nubia Gualteros</t>
  </si>
  <si>
    <t>Seguimiento programado para Julio.</t>
  </si>
  <si>
    <t>Se realizo el cargue de los indicadores.</t>
  </si>
  <si>
    <t>Se actualizo el 24 abril.</t>
  </si>
  <si>
    <t xml:space="preserve">
Karen Villarreal</t>
  </si>
  <si>
    <t xml:space="preserve">
Juan Mafla</t>
  </si>
  <si>
    <t>Carmen Chavez</t>
  </si>
  <si>
    <t xml:space="preserve">
Carmen Chávez</t>
  </si>
  <si>
    <t>Tramites de modificaciones</t>
  </si>
  <si>
    <t>No. de modificaciones tramitadas / No. Solicitudes</t>
  </si>
  <si>
    <t>No. de solicitudes aprobadas / No. Solicitudes tramitadas</t>
  </si>
  <si>
    <t>Apoyar la elaboración del Programa Anual Mensualizado de Caja - PAC para la OAPI</t>
  </si>
  <si>
    <t>Paola Cubides</t>
  </si>
  <si>
    <t># de solicitudes aprobadas / # de solicitudes tramitadas</t>
  </si>
  <si>
    <t>Apoyar la elaboración del Plan Anual de Adquisiciones de la UNGRD</t>
  </si>
  <si>
    <t>Daimi Lindo</t>
  </si>
  <si>
    <t>No. Acciones cerradas  / No. Acciones Formuladas en Planes de Mejoramiento</t>
  </si>
  <si>
    <t>No. Acciones cerradas / No. Acciones Formuladas en Planes de Mejoramiento</t>
  </si>
  <si>
    <t>No. De Indicadores reportados / No de indicadores a reportar en el periodo</t>
  </si>
  <si>
    <t>Italo Prieto</t>
  </si>
  <si>
    <t>Realizar el seguimiento al Plan Anticorrupción y de Atención al Ciudadano</t>
  </si>
  <si>
    <t>Actas de Seguimiento al Plan Anticorrupción</t>
  </si>
  <si>
    <t>No. Mapa de riesgos consolidados</t>
  </si>
  <si>
    <t xml:space="preserve">No de mapas de riesgos de corrupción  actualizados </t>
  </si>
  <si>
    <t>Marcela Zamudio Italo Prieto</t>
  </si>
  <si>
    <t>Diana Robles
Javier Soto</t>
  </si>
  <si>
    <t>Paula Contreras
Javier Soto</t>
  </si>
  <si>
    <t>Javier Soto</t>
  </si>
  <si>
    <r>
      <rPr>
        <sz val="10"/>
        <color rgb="FFFF0000"/>
        <rFont val="Arial"/>
        <family val="2"/>
      </rPr>
      <t xml:space="preserve">Brindar apoyo e insumos para la elaboración del </t>
    </r>
    <r>
      <rPr>
        <sz val="10"/>
        <rFont val="Arial"/>
        <family val="2"/>
      </rPr>
      <t>Plan de Seguridad de la Información</t>
    </r>
  </si>
  <si>
    <t>Wilson Salamanca</t>
  </si>
  <si>
    <t>Documentos para Plan de SI</t>
  </si>
  <si>
    <t xml:space="preserve">No. De documentos de insumo para el plan </t>
  </si>
  <si>
    <t xml:space="preserve">Documento de diagnostico y analisis de brechas </t>
  </si>
  <si>
    <t>Número de documentos entregados al Banco Mundial / N. de documentos solicitados</t>
  </si>
  <si>
    <t>Asesorar y orientar a los sectores en temas relacionados con Reduccion del Riesgo</t>
  </si>
  <si>
    <t>Se cuenta con el borrador de los términos de referencia para la creación de la comisión  y presentarse a los responsables de la comisión</t>
  </si>
  <si>
    <t>se encuentra en proceso de aprobación por parte de los miembros de la comsión</t>
  </si>
  <si>
    <t>teniendo en cuenta que por solicitud de Min Salud es necesario revisar para ajustes la Resolución de creación de la comisión</t>
  </si>
  <si>
    <t>Sectores por dependencia priorizados por la SMD, pendiente presentacion comisión para el manejo de desastres</t>
  </si>
  <si>
    <t>Se han realizado12reuniones con representantes  de la Comisión</t>
  </si>
  <si>
    <t>se ha realizado el seguimiento a los compromisos de la comisión</t>
  </si>
  <si>
    <t>pendiente susrtir las otrs actividades</t>
  </si>
  <si>
    <t>se cuenta con el model ode decreto,pendiente aprobación Subdirección general</t>
  </si>
  <si>
    <t>se cuenta con el model ode decreto,pendiente aprobación Subdirección general, la proyecció nse encuentra acargio de la Oficiina Juridica</t>
  </si>
  <si>
    <t>De acuerdo a los lineamientos determinados en el proceso de formulación de la ENRE, se cuenta con la estrategia especifica ante erupción volcanica y sismo pendiente elaboración instrumento de articulación entre el local, departamental y nacional para Cerro Machín y Galeras . LA linea de erupción volcanica pasa para reducción, quedando en la SMD con el documento ante sismo.</t>
  </si>
  <si>
    <t>determinacion de las obligaciones especifica para contratar la prestación de servicios profesionales. PENDIENTE REUNIÓN DIRECTOR UNGRD
Pendiente reunión Subdirección General</t>
  </si>
  <si>
    <t>determinacion de las obligaciones especifica para contratar la prestación de servicios profesionales.PENDIENTE REUNIÓN DIRECTOR UNGRD
Pendiente reunión Subdirección General</t>
  </si>
  <si>
    <t>determinacion de las obligaciones especifica para contratar la prestación de servicios profesionales. PENDIENTE REUNION DIRECTOR UNGRD
Pendiente reunión Subdirección General</t>
  </si>
  <si>
    <t>Se ha asistido a todoas las reuniones convocadas por la Subdirección General</t>
  </si>
  <si>
    <t>PENDIENTE SOLICITUD PARA SACAR ESTA ACTIVIDAD , PORQUE NO APROBARON RECURSOS POR PARTE DE LA OAPI</t>
  </si>
  <si>
    <t>Convenio firmado, REVISIÓN DE MINUTA POR PARTE DE LA FUDU</t>
  </si>
  <si>
    <t>SOLICITUD PARA AJUSTAR EL PLAN DE ACCION POR DISPONIBILIDAD PRESUPUESTAL</t>
  </si>
  <si>
    <t>SAT Utica 100%, SAT y redes Cumbal 60%, SAT MAgdalena Medio 60%</t>
  </si>
  <si>
    <t>Se ha realiado coordianciones con la SRR, referente a la articulación con el simulacro nacional de evacuación.</t>
  </si>
  <si>
    <t>el modelo se encuentra para revisión por parte de la linea tecnica de la SMD</t>
  </si>
  <si>
    <t>N° 9677PPAL001009-2015 $ 267.655.908</t>
  </si>
  <si>
    <t xml:space="preserve">esta actividad se desarrolla por demanda, 5 ACTIVACIONES EN LE 2015 </t>
  </si>
  <si>
    <t>LOS SOPORTES SON LSO REPORTES PRELIMINARES Y EL VISOR</t>
  </si>
  <si>
    <t>POR DEMANDA, RUD.GESTIONDELRIESGO.GOV.CO</t>
  </si>
  <si>
    <t>SE HAN ISNTALADO 13 PUENTES</t>
  </si>
  <si>
    <t>Ejecución del total de los recursos con contratos de obras civiles de emergencia en los Dpto de Cundinamarca (fusagasuga), Bolivar (San jacinto Cauca), Meta (El Castillo), Nariño (Cumbal), Antioquia (Nechi y rompedero de Santa Anita Cauca) $ 12.324.244.728</t>
  </si>
  <si>
    <t>Se firmaron actas de inicio del ocntrato y la interventoria el 24 de junio, se han realizado concertaciones con 12 comunidades indigenas pertenecientes a la etnia wuyuu, con el proposito de poder comenzar con el avance fisico.</t>
  </si>
  <si>
    <t>Se firmo acta de inicio el 16 de junio de 2015, se realizó el promer Comité Tecnico Administrativo, el 30 de junio donde se aprobó el Plan Operativo presentato por el Min. Agricultura.</t>
  </si>
  <si>
    <t xml:space="preserve">Se firmo acta de inicio el 16 de junio de 2015, se realizó el promer Comité Tecnico Administrativo, el 30 de junio donde se aprobó el Plan Operativo presentato por el Min. Agricultura. </t>
  </si>
  <si>
    <t>29 de mayo: Se realizaron por parte del BM los términos de referencia para lograr la contratación del equipo de trabajo encargado de realizar las actividades acordadas en el marco de la reglamentación del Fondo</t>
  </si>
  <si>
    <t>Acuerdo, por medio del cual se actualiza el Estatuto interno de la UNGRD, en materia Organizacional y de estructura, y Circular No. 052 de 2015 Por medio de la cual  se adoptan Acciones frente al Proselitismo Político, en el marco de las acciones que adelantan las entidades que conforman el Sistema Nacional de Gesti6n del Riesgo de Desastres .</t>
  </si>
  <si>
    <t>Resolución 722 del 12 de junio de 2015 mediante la cual se resolvió el recurso de reposición presentado por San Benito Abad</t>
  </si>
  <si>
    <t>18 de junio de 2015, se desarrolló el primer paso de la referida metodología obteniendo la Consolidación del cuadro Anexo No. 2 Reporte de las reclamaciones, solicitudes de conciliación, demandas, entre otros, que han llegado a la entidad en el último año, a partir de la información reportada por los abogados de la OAJ, el cual se presentó ante el Comité de Conciliación de la Unidad.                                                                                              El comité de conciliación en sesión del 22 de junio de 2015 solicitó a la OAJ la elaboración de un proyecto contentivo de la referida Política de Daño Antijurídico para ser revisada y validada con las áreas misionales.</t>
  </si>
  <si>
    <t>Se ha dado respuesta a cada una de las peticiones y consultas remitidas a la Oficina Asesora Jurídica, en donde se evidenciaron 46 derechos de petición los cuales se contestaron en tiempo.</t>
  </si>
  <si>
    <t>Se dio cierre a cada uno de los hallazgos evidenciados en la plataforma NEOGESTION</t>
  </si>
  <si>
    <t xml:space="preserve">Se realizó seguimiento a los planes de mejoramiento y ahora se realiza seguimiento a los cambios realizados para la aprobacion de la nueva versión </t>
  </si>
  <si>
    <t>Se asistió a las reuniones programadas por parte de la Oficina Asesora de Planeación</t>
  </si>
  <si>
    <t xml:space="preserve">Se realizó el cargue de todos los indicadores de la OAJ en la Plataforma con corte a Julio </t>
  </si>
  <si>
    <t>Se realizó la actualización del mapa de Riesgos por Procesos y quedá evidenciado en la plataforma de NEOGESTIÓN</t>
  </si>
  <si>
    <t>Se realizó la actualización del mapa de Riesgos por corrupción y quedá evidenciado en la plataforma de NEOGESTIÓN</t>
  </si>
  <si>
    <t>Uno de los hallazgos encontrados no ha sido posible darle tramite desde la plataforma NEOGETION, pero se deja evidenciado en cuadro de excel</t>
  </si>
  <si>
    <t>Poco tiempo para la retroalimentacion en el Mes de Julio</t>
  </si>
  <si>
    <t>UNIDAD NACIONAL PARA LA GESTIÓN DEL RIESGO DE DESASTRES - UNGRD- SEGUIMIENTO TERCER BIMESTRE DE 2015</t>
  </si>
  <si>
    <t xml:space="preserve">En el SUIFP se han actualizado 5 Proyectos de Inversion a fin de surtir el tramite de inscripcion para la vigencia 2016.  De acuerdo a lo señalado a continuación:
-Stemas de informacion fue aprobado por DAPRE y DNP. 
-Asistencia Tecnica fue actualizado e inscrito para la vigencia 2016, con la leyenda de previo concepto DNP, razon por la cual se han efectuado dos actualizacion y/o ajustes al mismo en el SUIFP a fin de levantar la mencionada leyenda.
-Fortalecimiento de Politicas  fue actualizado e inscrito para la vigencia 2016, con la leyenda de previo concepto DNP, razon por la cual se efectuó una actualizacion y a la fecha fue levantada la leyenda de previo copncepto con la observación de incluir una actividad adicional en el producto de lineamiento para la reconstrucción postdesastre.
-Implementación integral de los procesos de gestión del riesgo: Se ha efectuado en dos ocaciones la actualizacion y/o modificacion del proyecto a fin de efectuar levantamiento a la leyenda de previo concepto para la vigencia 2015. EL 19 de agosto, se envió una nueva actualización con las observaciones señaladas por DNP y DAPRE a fin de obtener las observaciones y ser cargado en el SUIFP. 
-Contratos Plan: Se efectuo la inscripción del proyecto de inversion: </t>
  </si>
  <si>
    <t xml:space="preserve">Apoyo financiero a proyectos de inversión en el marco de los procesos de gestion del riesgo de desastres a nivel nacional vigencia 2015 el cual fue </t>
  </si>
  <si>
    <t>Se esta a la espera de que queden definidos los indicadores de seguimiento por parte de DNP.</t>
  </si>
  <si>
    <t>UNIDAD NACIONAL PARA LA GESTIÓN DEL RIESGO DE DESASTRES - UNGRD- SEGUIMIENTO CUARTO BIMESTRE DE 2015</t>
  </si>
  <si>
    <t>% LOGRO A AGOSTO</t>
  </si>
  <si>
    <t>%CUMPLIMIENTO PA A AGOSTO</t>
  </si>
  <si>
    <t>Mesas de Trabajo sectoriales</t>
  </si>
  <si>
    <t># mesas adelantadas</t>
  </si>
  <si>
    <t xml:space="preserve">Asesorías técnicas </t>
  </si>
  <si>
    <t># de asesorías técnicas realizadas/# de asesorías solicitadas</t>
  </si>
  <si>
    <t>Meta cumplida</t>
  </si>
  <si>
    <t>Meta Cumplida
Las asesorías técnicas prestadas se realizaron en el marco del PNGRD, no se han desarrollado acciones sobre temas sectoriales, dado que el Plan aún no se ha expedido y en ese documento se halla la agenda de gestión del riesgo de cada sector</t>
  </si>
  <si>
    <t>Socializar el componente de RR con Comité Nal RR</t>
  </si>
  <si>
    <t>Porcentaje familias expuestas con acompañamiento psicosocial</t>
  </si>
  <si>
    <t>Realizar los simulacros de orden Nacional por diferentes amenazas</t>
  </si>
  <si>
    <t>Elaborar protocolos de respuesta nacionales ante Erupción Volcánica.</t>
  </si>
  <si>
    <t>Contribuir a la formulación de Estrategias Municipales de Respuesta a Emergencias -EMRE- en municipios ubicados en zonas de amenaza por erupciones volcánicas, tsunamis y ciclones tropicales.</t>
  </si>
  <si>
    <t>Reducción de desastres asociados a erupciones volcánicas, tsunamis y ciclones tropicales, fortaleciendo capacidades nacionales y locales.</t>
  </si>
  <si>
    <t>Nelson Hernandez/ Sandra Martinez</t>
  </si>
  <si>
    <t xml:space="preserve">Protocolos </t>
  </si>
  <si>
    <t>Sandra L. Martínez Rueda</t>
  </si>
  <si>
    <t>Estrategia Mpal de Respuesta</t>
  </si>
  <si>
    <t>Número de documentos EMRE formulados y presentados a CMGRDs</t>
  </si>
  <si>
    <t>Jorge G. Obando Mesías /
Shirley M. González Parra /
Felix R. Giraldo Delgado</t>
  </si>
  <si>
    <t>De acuerdo con lo informado por la Subdirección General, no se realizará una reunión de validación del componente de RR con el CN RR. Se convocará a una sesión tripartita (preferiblemente) para socializar el PNGRD, ya validado por los sectores y entidades responsables de desarrollar las actividades.</t>
  </si>
  <si>
    <t>Meta Cumplida</t>
  </si>
  <si>
    <t>De acuerdo con la solicitud  realizada en conjunto con la OAPI se recibió respuesta por tres entidades ( MinAmbiente, DANE, MinVivienda), la información suministrada se encuentra en revisión para ser incorporada al sistema.
Adicionalmente se realizaron dos reuniones con el fin de concretar los términos de entrega y las condiciones de los convenios con Fasecolda y CISA; se encuentra en proceso la firma de los respectivos convenios. La gestión de dichos convenios ha sido liderada desde la línea de intervención Protección Financiera.</t>
  </si>
  <si>
    <t>Meta Cumplida
La información se solicitó a través del grupo de asistencia técnica, a la fecha se cuenta con información de 25 municipios; esta información está siendo analizada. La información corresponde a los municipios de Los Patios y Villa del Rosario en Norte de Santander; Combita, Motavita y Soraca en Boyaca. 
Se esta realizando un documento descriptivo que recopila la información recibida.</t>
  </si>
  <si>
    <t>Meta cumplida
Se finalió la primera versión del documento con el siguiente contenido:
1. ESTANDARES DE LA INFORMACIÓN A INCORPORAR EN EL SNIGRD 
2. SOFTWARE
3. SISTEMA DE PROYECCION:
4. INTERVENCION PROSPECTIVA
5. NORMA INCIDENTES EN LA CARTOGRAFIA REQUERIDA EN LOS PLANES DE ORDENAMIENTO TERRITORIAL 
6. DECRETO 879 DE 1998 MAYO 13 
7. DECRETO 3600 DE 2077. 
8. NORMA URBANA/RURAL 
8. AMENAZAS 
9. VULNERABILIDAD 
10. RIESGO 
11. INTEVENCION CORRECTIVA
12. PROTECCIÓN FINANCIERA 
El documento técnico se remitira a la OAPI para la respectiva validación.</t>
  </si>
  <si>
    <t>Meta Cumplida
Se realizó la primera versión del documento titulado: REQUISITOS PARA ELABORAR EL ANÁLISIS ESPECÍFICO DE RIESGOS Y PLANES DE CONTINGENCIA.  ART.42 , LEY 1523 DE 2012. Con el siguiente contenido corregido por el Subdirector general y la Subdirertora para la Reducción del Riesgo:
INTRODUCCIÓN 5
CAPITULO I. RESPONSABLES Y ALCANCE 6
Prestación de servicios públicos 6
Obras civiles mayores 7
Desarrollo de actividades industriales 7
Otras que puedan significar riesgo de desastre para la sociedad y las determinadas por la UNGRD 8
CAPITULO II. ANÁLISIS ESPECÍFICO DE RIESGOS 9
Proceso para la gestión del riesgo 10
1. Establecimiento del contexto 10
2. Valoración del riesgo (Análisis y evaluación del riesgo) 11
3. Tratamiento (Diseño e implementación de medidas de reducción y Manejo) 14
4. Monitoreo y revisión (Monitoreo y seguimiento) 14
5. Comunicación y consulta (Comunicación) 14
CAPITULO III. MEDIDAS DE REDUCCIÓN  DEL RIESGO 15
Tipos de intervención: 15
Intervención correctiva 16
Intervención prospectiva 16
Protección financiera 16
CAPITULO IV. PLANES DE EMERGENCIA Y CONTINGENCIA 16
Planes de emergencia y contingencia 16
Contenido mínimos del plan de emergencia y contingencias 17
CAPITULO V. ESTRATEGIA DE REPORTE Y ADOPCIÓN 18
BIBLIOGRAFÍA 22
ANEXOS 23</t>
  </si>
  <si>
    <t xml:space="preserve">Se tiene un documento técnico; para la aprobación del mismo, la Subdirección General  solicitó una prueba de escritorio para verificar la pertinencia de los contenidos y posibles vacíos. 
Se cuenta con la identificación de la entidad privada para la palicabilidad del piloto. Esta actividad comparte la meta entre las tres subdirecciones. </t>
  </si>
  <si>
    <t>Participación en reuniones de la mesa técnica: el 14/07/2015 y el 31/07/2015. Esta mesa técnica es convocada y presidida por la Subdirección General y participan en ella también la OAPI, OCI, OAJ, SCR y SMD. Las discusiones y acuerdos en la mesa definen la ruta de trabajo. Actualmente se desarrollan actividades que están únicamente a cargo de la OAJ.</t>
  </si>
  <si>
    <t>A la fecha solo se han definido tareas para la Oficina Asesora Jurídica. La ruta de trabajo de la mesa técnica depende de los productos de la OAJ y la reunión  -aún pendiente- de la Subdirección General con MinMinas y MinAmbiente. Se hace la claridad que la meta no corresponde a la realidad del tema, hecho que se manifiesta a la OAPI mediante CI-404-2015.</t>
  </si>
  <si>
    <t>A enero 1 de 2015 se tenía programado un presupuesto de  $ 4.230.544.156 para adquisición de predios (valor comprometido a diciembre 31 de 2014  $ 3.396.542.974 +  $ 834.001.182 saldo sin comprometer de las cuentas 2701 y 270602). 
La ejecución de Enero a Agosto de 2015, es del 69 % ($ 2.900.089.338), referida únicamente a la adquisición de predios.</t>
  </si>
  <si>
    <t xml:space="preserve">Si bien el mes de julio se realizaron afectaciones para el pago de compensaciones por el valor de $ 11.865.040 y reconocimiento de IPC por valor de $ 18.606.324, estos valores aún no se reflejan en el presupuesto ejecutado, toda vez que se encuentra pendiente el desembolso desde el aplicativo financiera (tablero control) </t>
  </si>
  <si>
    <t>El PGIR - AVG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Para los meses de julio y agosto de 2015 se realizaron 77 acompañamientos.</t>
  </si>
  <si>
    <t>.-El proceso de contratación para demoliciones continúa en trámite en la Oficina de gestión Contractual.
-En el momento que inicie la ejecución del contrato de demoliciones e interventora se medirá porcentualmente El respectivo avance.</t>
  </si>
  <si>
    <t>En mayo se sacó un proceso el cual fue declarado desierto.  La Oficina de gestión contractual pidió unos ajustes y se hicieron y posteriormente redefinieron todo el proceso y todavía continua en revisión en dicha oficina.</t>
  </si>
  <si>
    <t>Durante el mes de Julio de 2015 se dio terminación a la ejecución de los siguientes proyectos: Ayapel, laguna Fuquene margen oriental, laguna Fuquene margen occidental.
Los siguientes proyectos tienen variación en su fecha de terminación toda vez que se realizaron ajustes en recursos o en tiempo:
Bochalema 2-09-2015 para el 3-01-2015
Hatillo 21-08-2015 para el 21-10-2015
Arauca para el 14-11-2015 y 
Neiva para el 15-11-2015</t>
  </si>
  <si>
    <t>Primero se está avanzando en la Guía de formulación de proyectos de vivienda para ser presentados ante la UNGRD y en el portafolio del sector vivienda, para pasar a esta actividad.</t>
  </si>
  <si>
    <t>Meta cumplida.
Actualmente se cuenta con la Base de Datos de Proyectos de Vivienda la cual se actualiza mensualmente. La única excepción de proyectos de vivienda que tiene la base de datos, son los proyectos liderados por Margarita Bello.</t>
  </si>
  <si>
    <t>Se recibieron Diecinueve (19) solicitudes de asesoría técnicas; Nueve (09) solicitudes fueron atendidas en el mes de Julio de 2015, y Diez (10) en el mes de Agosto</t>
  </si>
  <si>
    <t>En el bimestre de Julio-Agosto de 2015 se actualizó semanalmente la matriz de seguimiento de los proyectos, consignando todas las acciones adelantadas de los proyectos que se encuentran en estructuración, ejecución y en liquidación.</t>
  </si>
  <si>
    <t>Se logró el cierre acumulado a la fecha de San Miguel (Enero), Pijiño del Carmen (Abril),  Santo Tomas (Julio) y Medio Atrato (Agosto)</t>
  </si>
  <si>
    <t>Se han presentado demoras que son atribuibles a la no remisión de documentos de los municipios y trámites del proceso de liquidación o cierre.</t>
  </si>
  <si>
    <t xml:space="preserve">Para los meses de Julio y Agosto se recibió un total de (24+18) 42 solicitudes, de las cuales se logró gestionar 25 de estas. Teniendo en cuenta que los procesos represados a la fecha ascienden aproximadamente a 200, se establece una meta de  evaluar 70 proyectos represados en el bimestre y adicionalmente mantener al día a las gestiones requeridas en el periodo.
Las gestiones adelantadas en el periodo fueron 99 de 102 que se estableció como meta (70 represados+42 solicitudes). </t>
  </si>
  <si>
    <t>Se realizaron 7 asesorías presenciales para las que se emplearon aproximadamente 7 horas y 30 minutos.</t>
  </si>
  <si>
    <t>Documento de soporte compilado, en proceso de aprobación. Igualmente se decidió desarrollar un producto para divulgar a las autoridades territoriales, es decir una versión más simplificada.</t>
  </si>
  <si>
    <t>Se tiene establecida la metodología para documentar la investigación de los estudios de caso. Por instrucción de la subdirección, se va a realizar esta investigación directamente de mi parte dado que los procesos administrativos para la vinculación de un pasante o de un apoyo demandan tiempo que atrasaría el cumplimiento de meta.</t>
  </si>
  <si>
    <t xml:space="preserve">En el Marco del ejercicio de la Supervisión del Convenio se está a la espera de la legalización de documentos y transferencia de recursos por parte del Acueducto y Alcaldía para el perfeccionamiento del acta de inicio, así como de la contratación de la obra y la interventoría por parte del acueducto. </t>
  </si>
  <si>
    <t>SIMULACRO NACIONAL DE EVACUACIÓN COMUNITARIA (80% de avance): 
- Reuniones periódicas del Equipo Coordinador. 
- Definición de un sistema de reporte de cifras de evacuados. 
- Puesta en marcha de una estrategia de comunicación. (4) Definición de Escenario con SGC. 
- Reuniones con el Ministerio de Salud y Protección Social, Conferencia Episcopal (Pastoral Social), Confederación Nacional de Acción Comunal, Asociación Scouts de Colombia, Cruz Roja Colombiana, Defensa Civil Colombiana y Bomberos, Socios Dipecho (Save Children, FAO, Cruz Roja Alemana, UNESCO, UNISDR, Fundación Plan), Policía Nacional, Ejercito Nacional, Armada Nacional, entre otros. 
- Reuniones de coordinación con IDIGER. 
- Asistencia en terreno a Dptos y Mpios para adelantar proceso de inscripción y preparación del ejercicio.
- Requerimientos Logísticos en coordinación con Sala de Crisis.
- Gestión de Observadores con ONU. 
- Información en reunión de coordinadores (del 29/08/2015).
SIMULACRO BINACIONAL DE EVACUACIÓN POR ERUPCIÓN VOLCÁNICA (40% de avance):
-  Avance en proceso de contratación de Sistema de Telecomunicaciones y SAT, en coordinación con SMD-CNL;
- Avance en coordinación logística binacional, desde la SMD; 
- Avance en el proceso de instalación de señalización en Resguardos Indígenas (zona rural Mpio. de Cumbal, Nariño); 
- Seguimiento a la elaboración de Planes Comunitarios de Evacuación; 
- Avances en la adecuación de rutas de evacuación (caminos veredales); 
Elaboración estudios previos, análisis de mercado y análisis del sector, como paso previo a la convocatoria y contratación de servicio de producción de piezas audiovisuales para el simulacro.
La fecha para la realización de los Simulacros es acordada entre el Director General de la UNGRD y el del IDIGER.</t>
  </si>
  <si>
    <t xml:space="preserve">
- Definición de fecha de próximo encuentro presencial, por parte de la SGR (Ecuador).
</t>
  </si>
  <si>
    <t>Revisión de contenido y estructura de documento "Marco de Actuación para Erupciones Volcánicas“, elaborado por Consultora y suministrado por la SMD.</t>
  </si>
  <si>
    <t>El "Marco de Actuación para Erupciones Volcánicas“ no responde a los contenidos que se esperan de un Protocolo Nacional, lo que significa que el Protocolo tendrá que elaborarse completamente.</t>
  </si>
  <si>
    <t>.- Proceso de revisión y ajuste EMRE de Nariño y Cumbal (Nariño), incorporando el riesgo volcánico;
- Proceso de revisión y ajuste EMRE de Santa Catalina (Bolívar), Puerto Colombia y Tubara (Atlántico) y Ciénaga (Magdalena), incorporando el riesgo por Tsunami;
- Proceso de revisión y ajuste EMRE del Distrito de Cartagena (Bolívar), incorporando el riesgo por Ciclones Tropicales.</t>
  </si>
  <si>
    <t>Definición estructura de EMRE, incorporando Protocolos x Eventos Relevantes</t>
  </si>
  <si>
    <t xml:space="preserve">EN JULIO:     
- Se ajusta  Documento de Recomendaciones del Comité Nacional de Reducción del Riesgo sobre integración de medidas de reducción del riesgo en instrumentos de planificación y en específico para Salgar, Antioquia; se presentan a Comisión Técnica a partir de observaciones de miembros del Comité Nacional de Reducción del Riesgo.
- Participación en Comisión y presentación ajustes Documento de Recomendaciones del Comité Nacional de Reducción del Riesgo  sobre integración de medidas de reducción del riesgo en instrumentos de planificación y en específico para Salgar Antioquia se presentan a Comisión Técnica y se envía a miembros del Comité.
- Se hace presentación SRR del Documento de Recomendaciones al CNRRD  y adopción del  Documento de Recomendaciones por el Comité Nacional para la Reducción del Riesgo como  Recomendación No 001 del 28 de julio de  2015 del  CNRRD.
- Asistencia a mesa de trabajo “Comité Hábitat III” Tercera Conferencia de las Naciones Unidas sobre vivienda y desarrollo urbano sostenible a realizar en 2016. 
- Elaboración de Columna de Opinión Director UNGRD para Revista Semana: Apoyo en elaboración de columna de opinión en relación con el proyecto de recuperación del río Soacha y la toma de medidas integrales de  gestión del riesgo en ese municipio.     
- Representación como Colombia /UNGRD  a: Seminar on Climate Change and Disaster Prevention and Mitigation for Developing Countries. Beijing  11 de julio a 5 de agosto de 2015. Intervención Mirada del Riesgo de Desastres en Colombia. 
EN AGOSTO:
- Preparación escrito y diapositiva de justificación de la línea de planificación de la SRR de la actuación de la UNGRD en la Coordinación del Plan PAZCIFICO.
- Revisión  documento Guía para la Formulación de Proyectos de Vivienda SRR -UNGRD. </t>
  </si>
  <si>
    <t>Se atendieron dentro de los términos de legales, las solicitudes realizadas por entidades públicas del orden local y nacional; personas naturales y jurídicas; entes territoriales: municipios, distritos y departamentos.
JULIO: 16 Solicitudes.
AGOSTO: 32 Solicitudes.</t>
  </si>
  <si>
    <t xml:space="preserve">EN JULIO:
- Ajuste UNGRD y envío a DNP /CEI -COT a la propuesta UNGRD de modificación componente gestión del riesgo y adaptación al cambio climático del DOCUMENTO TÉCNICO BASE PARA EL DESARROLLO NORMATIVO  DEL NUMERAL 2 DEL ARTÍCULO 29 DE LA LEY 1454 DE 2011 FORMA Y ALCANCES DEL ORDENAMIENTO TERRITORIAL DEPARTAMENTAL (Documento para discusión) de MVCT. 
- Asistencia a taller de fortalecimiento de capacidades e  intercambio de experiencias en Ordenamiento Territorial, a partir de los avances de coordinación interinstitucional en casos Pilotos de integración de áreas protegidas al ordenamiento territorial, bajo el enfoque  de procesos de ordenamiento multiescalar e intersectorial que se adelantan en Colombia. 16 y 17 de julio de 2015 en la ciudad de Bogotá, en el FNA.  
- Asistencia a mesa de trabajo “Agenda estratégica para el Ordenamiento Territorial Cundinamarca" en representación UNGRD
- Asistencia a Taller: Fortalecimiento de Capacidades e Intercambio  de experiencias sobre trabajo interinstitucional en casos piloto de Ordenamiento Territorial
-Asistencia a taller  Presentaciones Lineamientos de gestión del territorio para usos agropecuarios (GESTUA)  UPRA, Política Nacional de Biodiversidad. Instituto HUMBOLDT.  Directrices y Lineamientos Nacionales para el Ordenamiento del Territorio Marino Costero. CCO y  Región metropolitana de Bogotá, una visión de ocupación del suelo SDP. 
EN AGOSTO: 
- Preparación observaciones SRR-UNGRD a documento “Bases para la formulación de la política pública de Gestión del Territorio para Usos Agropecuarios, GESTUA” formulado  por la UPRA (Unidad de Planificación Rural Agropecuaria del Ministerio de Agricultura) y entregado a las entidades del CEI – COT. 
</t>
  </si>
  <si>
    <t>EN JULIO:
Ajustes a Guía GRD-  OT : 
Proceso de revisión y observaciones:
- Grupo Línea de Instrumentos de Planificación
- Líderes Subdirección de Reducción del Riesgo (adicionalmente  se realiza presentación Guía) 
EN AGOSTO:
- Presentación a Comisión Técnica Asesora del  Comité Nacional de Reducción del Riesgo.
- Proceso de entrega / presentación para revisión y observaciones a la Guía de:
• Subdirección General
• Miembros Comisión Técnica Asesora del  Comité Nacional de Reducción del Riesgo.</t>
  </si>
  <si>
    <t xml:space="preserve">EN JULIO:  
Ajuste documento soporte Foro internacional “Reducir el riesgo Nuestra mejor opción: día 1 
“El riesgo de desastres como determinante del ordenamiento del territorio”
• Versión 1 de  Listado de asistentes para el foro internacional.
Preparación de oficios de invitación a Ponentes. 
• Proyección de presupuesto  para el foro internacional
• Elaboración de propuesta de distribución espacial para el foro Internacional: Reducir el Riesgo Nuestra Mejor Opción.
Visita instalaciones Maloka  para concretar distribución espacial y logística requerida para Foro Internacional –
Mes de la reducción del riesgo.
EN AGOSTO:
- Definición del presupuesto  para el Foro Internacional.
- Remisión de cartas de invitación a invitados de territorios.
- Definición de la distribución espacial para el evento.
- Actividades de gestión para la logística del foro.
</t>
  </si>
  <si>
    <t>Meta cumplida
Documento propuesta de incorporación remitido a DNP.
Se adelantó complementariamente la revisión del componente del riesgo de desastres en formulario remitido por el DNP para proceso de empalme de las administraciones municipales.</t>
  </si>
  <si>
    <t xml:space="preserve">EN JULIO: 
1.   Asistencia a comité técnico julio.
2.  En el marco del seguimiento técnico, administrativo y financiero al Convenio  la UNGRD: 
- Gestionó y apoyó  mesa de trabajo con IGAC  y operadores (Gobernación y Alcaldía) para discutir aspectos técnicos y de manejo de la información generada bajo la Actualización Catastral que IGAC desarrollo en el marco del Convenio de referencia.
- Realizó mesa de trabajo con el equipo contratado por Gobernación y Coralina para revisar y ajustar última versión del diagnóstico de riesgos.
EN AGOSTO: 
1.Asistencia a comité técnico Agosto.
2. En el marco del seguimiento técnico, administrativo y financiero al Convenio  la UNGRD: 
- En coordinación con la Gobernación Departamento Archipiélago y la  Alcaldía de Providencia y Santa Catalina, se realizaron  mesas de trabajo  con asistencia de los siguientes actores: MVCT, IGAC, Coralina y equipo  de formulación de la Gobernación y de la Alcaldía.
</t>
  </si>
  <si>
    <t xml:space="preserve">Meta cumplida.
EN JULIO: 
- Revisión de documento EOT enviado por el Municipio de La Florida Capitulo Gestión del Riesgo 
- Definición y coordinación  jornada de trabajo de Supervisión  en La Florida para revisión final de documento  EOT. 
EN AGOSTO:
- Visita de  Supervisión  11, 12 y 13 de  Agosto jornada de trabajo con Consultores y Administración Municipal de La Florida  revisión de documentos formulación EOT. 
- Apoyo con elaboración documento Modelo de Ordenamiento para el EOT de La Florida y su remisión a  Alcaldía de La Florida.
</t>
  </si>
  <si>
    <t xml:space="preserve">
Los Talleres  se adelantarán en los meses de noviembre y diciembre de 2015 una vez se haya construido la línea base, y se desarrollen los lineamientos que serán socializados en estos talleres.
EN AGOSTO:
- Se asistió y se realizó presentación y labores de revisión de la presentación  UNGRD  para taller/ reunión de coordinación talleres regionales CAR´s Decreto 1807 de 2014 para  jornadas de capacitación y socialización del Decreto 1807 del 2014 con  Corporaciones Autónomas Regionales. </t>
  </si>
  <si>
    <t xml:space="preserve">En JULIO y AGOSTO se adelantaron las siguientes acciones:
1. Respecto a la información recopilada por municipios, se adelantó una  verificación de la información recibida y se encontró que en algunos casos los documentos recopilados tiene documentos anexos que no fueron recibidos. Se está organizando la información a partir de una estructura homogénea para todos los municipios.
2.Respecto a la elaboración de los diagnósticos de línea base se han hecho los siguientes avances:  
a) Se cuenta con avances en el diligenciamiento de los formularios de El Cerrito (Valle), Guarne, La ceja (Antioquia), Villamaría (Caldas), Santa Rosa de Cabal (Risaralda) , Galapa, Palmar de Varela, Malambo, Sabanagrande, Baranoa, (Atlántico), Ciénaga (Magdalena),  Montenegro, Quimbaya, Circasia (Quindío)
b) Con el fin de avanzar en la elaboración de los documentos de línea base, se avanzó en el análisis y definición preliminar de información que se debe incorporar en estos documentos para los municipios de Combita, Motavita, Nobsa, Tuta (Boyacá),Villa del Rosario, Zulia, Los Patios (Norte de Santander), El Cerrito, Guacarí (Valle del Cauca). 
c) Se avanzó en la identificación de información para el diligenciamiento del formato de evaluación para los municipios de Guacarí (Valle), Zulia, Villa del Rosario (Norte de Santander), Tubará, Polonuevo, Santo Tomas, Pueblo Viejo (Atlántico)
d) A partir de los análisis realizados y el avance en contenidos del documento de línea base, se inició  un ejercicio de diligenciamiento de la plantilla de  documentos de línea base para el municipio de Villa del Rosario, con el fin de tener un primer documento para discusión y validación por parte del equipo. 
</t>
  </si>
  <si>
    <t xml:space="preserve">En el mes de JULIO se presentaron las siguientes dificultades:
• Se presentó la terminación  anticipada del consultor Diego Peña, quien tenía a cargo los municipios de Antioquia y del Eje Cafetero, lo cual generó retrasos, dado que se tuvo que adelantar el proceso de contratación de la profesional que asumió la evaluación de estos municipios. 
• Se ha requerido hacer ajustes a los formatos con el fin de aclarar alcances en los componentes diagnóstico, formulación e implementación del POT, a partir de su diligenciamiento por parte del equipo técnico.
</t>
  </si>
  <si>
    <t>De acuerdo con el avance en la evaluación de los instrumentos de planificación, y los documentos de elaboración de línea base, la elaboración de los documentos de Lineamientos se realizarán a partir del mes de octubre hasta noviembre  de 2015</t>
  </si>
  <si>
    <t>Se están realizando ajustes al portafolio de entidades sector vivienda.</t>
  </si>
  <si>
    <t>Está pendiente de expedirse el Decreto que reglamenta la política de vivienda rural, a cargo del Ministerio de Agricultura y Desarrollo Rural; siendo este decreto un insumo para el portafolio.</t>
  </si>
  <si>
    <t>El 24 de Agosto se radicó ante Contratación de la UNGRD la documentación precontractual para la elaboración del Convenio con la Universidad Nacional, quien se encargara de la finalización de la propuesta técnica, teniendo en cuenta la experticia y el equipo de trabajo con que cuenta la Universidad.</t>
  </si>
  <si>
    <t>Para el mes de Julio, la Universidad Nacional se encontraba en receso de mitad de año y no habían podido enviar a la UNGRD propuesta técnica para iniciar con la elaboración  del Convenio de Asociación.</t>
  </si>
  <si>
    <t xml:space="preserve">Meta cumplida
Apoyo técnico en el marco del PNACC en el mes de Julio:
1. Participación Mesa Plan de ACC-MVCT
2. Respuesta a solicitud de UPME donde se solicita entrevista con la firma Ambiental Consultores para conocer los procesos de gestión del riesgo de la UNGRD como insumo al Plan de Adaptación del sector energético.
Apoyo técnico en el marco del PNACC en el mes de Agosto:
1. Revisión de la propuesta de la UNGRD a la contribución de Colombia en Adaptación, proceso que lidera MADS, en articulación con Marco de Sendai 2015-2030
</t>
  </si>
  <si>
    <t>Se realizan Comités Técnicos de seguimiento de los Convenios e Informes de Supervisión Técnica, Administrativa y Financiera:
1. Sistema de Alerta Temprana en las cuencas del Rio Zulia y Pamplonita. Norte de Santander con Unipamplona
2. Modelación Matemática Hidráulica y obra piloto "Cancha Inundable" en Riohacha, suscrito con Fundación CREACUA y Alcaldía de Riohacha
En el Convenio Modelación Matemática Hidráulica y obra piloto "Cancha Inundable" en Riohacha, se perfeccionó el 29 de Mayo Otro Si No. 2 para modificar fechas de desembolsos a favor de CREACUA y en Comités Técnicos de 6 y 14 de Julio se realizó el seguimiento a éstos desembolsos los cuales han generado retrasos técnicos y administrativos y no ha sido posible. En CT de 6 de Julio se avala la solicitud de prórroga por 8 meses a partir de 26 de Agosto (Fecha de finalización del Convenio). Teniendo en cuenta que el municipio remitió el CDP el día 25 de Agosto se adelanto la instrucción para legalizar la prórroga.</t>
  </si>
  <si>
    <t>Por parte del Contratista Guala se realiza la post producción del juego digital y el video (versión larga, corta y subtitulada en inglés) para ajustes y aprobación por parte de la UNGRD
Durante el mes de Agosto se realizaron ajustes por parte de la Supervisión de la UNGRD al juego para poder recibir a satisfacción los productos.</t>
  </si>
  <si>
    <t xml:space="preserve">Meta cumplida
Apoyo en la  preparación de INDC (Contribución de Colombia en el marco de la CMNUCC) en Adaptación liderado por MADS en articulación con Marco de Sendai 2015-2030. Se envió texto de incorporación de gestión del riesgo en el INDC. 
Durante el mes de Agosto, se hizo la revisión técnica Texto base de Negociación de CC en lo referente a Adaptación (Enviado por Cancillería)  e incorporación de un nuevo texto integrando Marco de Sendai para revisión de Subdirección General y Grupo de Cooperación Internacional. 
</t>
  </si>
  <si>
    <t xml:space="preserve">Se dio respuesta al Instituto del Ministerio Público solicitando información del proyecto GIR Caribe y Revisión del Documento Técnico de POD enviado por la CEI-COT en lo relacionado a CC.
Participación Reunión con Instituto Clingendail para conocer  Proyecto de Crecimiento Verde junto con Cooperación Internacional.
Apoyo en la preparación del Foro Internacional de Reducción del Riesgo liderado por la SRR, especificamente en su segundo día, denominado “La Reducción del Riesgo de Desastres como medida de Adaptación a la Variabilidad y Cambio Climático”. 
</t>
  </si>
  <si>
    <t>Se realizó reunión con la Universidad de Manizales, en Manizales, para la discusión conceptual y metodológica del tema.
Ya se cuenta con CDP 15-0170 que compromete estos recursos en el marco del Convenio de Asociación que está en trámite con la Universidad de Manizales.</t>
  </si>
  <si>
    <t>Aún no se cuenta con un documento para firma de la Universidad de Manizales, a pesar de haber radicado todos los documentos solicitados por la oficina de Contratación.</t>
  </si>
  <si>
    <t>Meta cumplida.
Se brindó asesoría técnica a la Confederación Nacional de Acción Comunal, a la Policía Nacional - Seguridad Ciudadana y a la Armada para orientar su participación específica en el Simulacro Nacional de Evacuación Comunitaria. Se elaboraron documentos específicos para cada entidad.</t>
  </si>
  <si>
    <t>El convenio está en proceso de gestión contratual.</t>
  </si>
  <si>
    <t>Meta cumplida.
Adicionalmente, se mantuvo el diálogo con el Ministerio de Salud para la coordinación con el Sistema Nacional de Discapacidad. Se han generado documentos e instancias de análisis conjunto sobre gestión del riesgo y discapacidad, en el marco de la Mesa.
Se realizó mesa de trabajo sobre el tema de enfoque diferencial y simulacro nacional a través de los  Encuentros Nación Territorio que realiza MinSalud a través de video conferencia con todo el territorio nacional.</t>
  </si>
  <si>
    <t>Se avanzó en el diseño del Taller Regional de Experiencias Comunitarias frente a inundación lenta del río Amazonas, con la Universidad de Manizales. Las fechas están sujetas a la realización de otras actividades en el marco de los acuerdos binacionales con Ecuador y Perú.
Ya se cuenta con CDP 15-0170 que compromete estos recursos en el marco del Convenio de Asociación que está en trámite con la Universidad de Manizales.</t>
  </si>
  <si>
    <t xml:space="preserve">Se ha avanzado en la coordinación del Foro Internacional de Reducción del Riesgo y en los preparativos para el Simulacro Nacional de Evacuación Comunitaria, principales actividades del Mes. </t>
  </si>
  <si>
    <t>Meta cumplida
Julio: Actualización 13, el 14/07/2015, sobre el Simulacro Nacional de Evacuación por Sismo; Actualización 14, el 16/07/2015, sobre la última sesión de la CTA RRD; Actualización 15, el 16/07/2015, sobre la última sesión de la CNARIT; Actualización 16, el 22/07/2015, sobre el inicio de las inscripciones para el Simulacro Nacional; Actualización 17, el 29/07/2015, sobre la aprobación de documentos de recomendaciones en CN RR; Actualización 18, el 29/07/2015, publicación Recomendación 001 del CN RR; Actualización 19, el 06/08/2015, avances obras de mitigación; Actualización 20, el 06/08/2015, Santander prepara Simulacro de Evacuación; Actualización 21, el 12/08/2015, Armenia prepara Simulacro Nacional; Actualización 22, el 13/08/2015, reunión de profesionales asistencia técnica; Actualización 23, el 20/08/2015, la CNARIT se reúne.</t>
  </si>
  <si>
    <t>Meta cumplida
.- Se apoyó al Banco Mundial-Ministerio de Hacienda y Crédito Públicos en la construcción de los lineamientos sobre aseguramiento de bienes públicos del nivel territorial ante la ocurrencia de desastres.       
- Se concretaron reuniones técnicas: i) UNGRD y FASECOLDA, ii) UNGRD y CISA, con el propósito de consolidar convenios de intercambio de información relativa a bienes inmuebles públicos y privados y su estado de aseguramiento, en la cual se definieron los datos que se entregarán y podrán ser de apoyo para el SNIGRD;  se entregó documento preliminar elaborado por la OAPI, que formalizará el acuerdo, para revisión y aportes desde las oficinas jurídicas de FASECOLDA y CISA, respectivamente. 
- Se inició la participación de la UNGRD, en la Comisión Nacional de Crédito Agropecuario, mediante asistencia a dos Talleres sobre el Seguro Agropecuario en Colombia, en el marco de la decisión adoptada por la Comisión, de crear una Subcomisión de trabajo integrada por los representantes de la CNCA y con delegados de la UNGRD, el IGAC, el IDEAM, el ICA, la UPRA y CORPOICA, desde la cual se abordará, interinstitucionalmente el tema de Seguro Agropecuario catastrófico en el país.
- Se realizó la segunda y la tercera sesión de trabajo de la mesa Interinstitucional en protección Financiera en sesión ordinaria, obteniendo avances de trabajo en temas de aseguramiento en bienes inmuebles y en el sector agropecuario; igualmente, en materia de educación financiera enfocada a los tomadores de decisión en los territorios.</t>
  </si>
  <si>
    <t>.- En construcción propuesta de Educación Financiera con FASECOLDA; para articular contenidos con el insumo (Guía), se entregó documento actualizado para lectura y aportes al docente que está estructurando la malla curricular.
- Se remitió, nuevamente, mediante memorando el documento actualizado a la Subdirección General para validación y posterior publicación.
- Se realizaron reuniones para definir espacios de divulgación y/o promoción del módulo de Educación Financiera (diseñado para funcionarios públicos de Entidades territoriales), definiendo el primero en el marco de las actividades del mes de la reducción del riesgo, específicamente en el evento del 13 y 14 de octubre, Foro Internacional "Reducir el Riesgo: Nuestra Mejor Opción"                                                                                                                                    - Se revisó y se realizaron las observaciones al documento "Lineamientos para mejorar el nivel y la calidad del aseguramiento de los bienes públicos del nivel territorial ante la ocurrencia de desastres"  (MHCP-BM)                                                                                                                                  - Se asistió a reunión en DNP (Subdirección de Finanzas Públicas territoriales), para revisar inclusión de los temas de protección financiera en las capacitaciones a alcaldes electos, en articulación con el trabajo desarrollado en la mesa interinstitucional de P.F.
Las acciones desarrolladas se socializarán en el Foro para la Reducción del Riesgo (13-14 de Octubre 2015), espacio en el cual, también se entregará copia del documento digital.</t>
  </si>
  <si>
    <t xml:space="preserve">El día 8 de Julio de 2015 se realizó el primer seguimiento a la aplicabilidad de los controles establecidos para el riesgo identificado previamente, este proceso de realizó con el acompañamiento de la OAPI y la OCI, dicho seguimiento fue remitido a las Oficinas y posteriormente cargado en el aplicativo NEOGESTION. </t>
  </si>
  <si>
    <t>Mediante correo electrónico de 24 de Julio se remite a la OCI las acciones adelantadas por la SRR para dar cumplimiento a las metas establecidas en los planes de mejoramiento levantados por la CGR para el PGIR-AVG y para la evaluación de la Política Pública.</t>
  </si>
  <si>
    <t xml:space="preserve">Se asiste a la reunión mensual del equipo SIPLAG los día 29 de Julio y 28 de Agosto de 2015 </t>
  </si>
  <si>
    <t>El día 28 de Julio de 2015, se realiza la socialización de los temas tratados en la reunión SIPLAG del 26 de Junio, se resume el estado actual del SIPLAG y se hace un reconocimiento por la participación activa en la estrategia de divulgación Feria SIPLAG. 
Los días 30, 31 de Julio y 3 de Agosto se socializan los temas tratados en la reunión SIPLAG del 28 de Julio, en esta; se enfatiza en la importancia de la Auditoria de certificación y se divulgan elementos propios del proceso que se encuentran cargados en el aplicativo NEOGESTION.</t>
  </si>
  <si>
    <t>El día 14 de Julio se realiza el cargue de los indicadores en NEOGESTION establecidos en el SIPLAG, para este periodo se incluye la medición del indicador  cobertura de la asistencia técnica en protección financiera, teniendo en cuenta que es de medición semestral. 
El día 13 de Agosto se realiza el cargue de los indicadores mensuales de acuerdo a la programación establecida.</t>
  </si>
  <si>
    <t xml:space="preserve">El día 8 de Julio de 2015 se realizó el primer seguimiento a la aplicabilidad de los controles establecidos para cada riesgo identificado previamente, este proceso de realizo con el acompañamiento de la OAPI y la OCI, dicho seguimiento fue remitido las Oficinas y posteriormente cargado en el aplicativo NEOGESTION. </t>
  </si>
  <si>
    <t>% DEL LOGRO A AGOSTO</t>
  </si>
  <si>
    <t xml:space="preserve">%CUMPLIMIENTO PA A AGOSTO </t>
  </si>
  <si>
    <t>No se ha citado el Comité ya que no se tiene definidos los temas a tratar por lo cual se va a actualizar el plan de trabajo a través de la CTNCR</t>
  </si>
  <si>
    <t>Se envió memorando a la OAPI SCR-2015-115 solicitando las reuniones
Se realizó la primera reunión el 28 de Agosto</t>
  </si>
  <si>
    <t>El documento ya está totalmente realizado</t>
  </si>
  <si>
    <t>Falta visto bueno del Subdirector General</t>
  </si>
  <si>
    <t>Hasta no tener visto bueno no se puede socializar en las comisiones</t>
  </si>
  <si>
    <t>Esta actividad no se realizará este año</t>
  </si>
  <si>
    <t>Se realizó la segunda reunión de PNC contra derrame de Hidrocarburos el 14 de Julio de 2015</t>
  </si>
  <si>
    <t>Se esta realizando una actualización del procedimeinto de caracterización, para poder estandarizar las caracterizaciones de diferentes eventos</t>
  </si>
  <si>
    <t>Villarrica: Se firma Otro sí el 25 de agosto y prorróga el convenios por 3 meses hasta el 25 de febrero de 2016. 
Casa de lata: Revisión del producto No.3
Revisión de las observaciones de la supervisión
compromisos
FNGRD 9677-PPAL001-285-2015 con la corporación OSSO : SLos días 18 y 19 de agosto se realizaron capacitaciones al personal de la UNGRD, para el cumplimiento del plan de acción concertado.
Se requiere una articulación con las demás subdirecciones para que conozcan los alcances y obligaciones del convenio.</t>
  </si>
  <si>
    <t>No se ha dado rspuesta por parte de la SRR si se requiere modificación de los aportes</t>
  </si>
  <si>
    <t>Se esta trabajando en un nuevo proyecto de inversión donde se incliuye el monitoreo y en un SAT en Salgar</t>
  </si>
  <si>
    <t>Se realizó el mapa que se presentará en la próxima Comisión de Investigación</t>
  </si>
  <si>
    <t>El contrato esta en proceso de liquidación</t>
  </si>
  <si>
    <t>Se solicitó propuesta técnica del proyecto a la gobernación.</t>
  </si>
  <si>
    <t>Se realizó reunión con la mesa del SENA el 12 de agosto de 2015</t>
  </si>
  <si>
    <t>No se realizó la convocatoria debido al cambio de Subdirector</t>
  </si>
  <si>
    <t>No se han realizado más convenios</t>
  </si>
  <si>
    <t>No se han definido las acciones para realizar esta actividad</t>
  </si>
  <si>
    <t>Se realizó una actualización al Plan de mejoramiento de políticas públicas</t>
  </si>
  <si>
    <t xml:space="preserve">Se realizó seguimiento a Plan de Mejoramiento de  políticas públicasacuerdo a instrucciones de la OCI
Se realizó seguimiento a plan de mejoramiento del Plan Nacional de Contingencia por Derrame de Hidrocarburos </t>
  </si>
  <si>
    <t xml:space="preserve">Se asistió a las dos reuniones de julio y agosto </t>
  </si>
  <si>
    <t>No se realizó medición ya que no era necesaria por la periodicidad de los indicadores</t>
  </si>
  <si>
    <t>Se realizó seguimiento en Julio</t>
  </si>
  <si>
    <t>se ha asistido a todoas las reuniones convocadas por la Subdirección General</t>
  </si>
  <si>
    <t xml:space="preserve">1 de julio: Se realizó reunión en las instalaciones del BM en la cual se realizó lo siugiente: Bienvenida y antecedentes del proceso de Reglamentación del FNGRD: 5’/Eric Dickson (BM)
-Presentación de los representantes de las entidades: 15’/UNGRD, DNP, MHCP y BM
-Presentación del Equipo de Consultores: 10’
-Descripción del proceso: coordinación, metodología, articulación entre los diferentes consultores y con las entidades, plan de trabajo, manejo de información, periodicidad de las reuniones, instalaciones para trabajar, tiempos para revisión de productos: 40’/Armando Ardila (BM).
6 de julio: Se realizó reunión en las instalaciones de la UNGRD, en la cual se determinó el cronograma de entregas definitivo con el equipo consultor
12 de agosto: Se realizó reunión en las instalaciones del BM con todo el equipo consultor. En dicha reunión se analizó el primer documento entregado por el equipo respecto del cual se hicieron comentarios.
 14 de agosto: Se realizó reunión con el equipo consultor, miembros de Fiduprevisora y de la UNGRD
</t>
  </si>
  <si>
    <t>Participación en el manual de politica de prevención del daño antijuridico, la cual fue aprobada en el comité de conciliación en el mes de Agosto</t>
  </si>
  <si>
    <t>1, RESOLUCION NUMERO 0759 DEL 19 DE JUNTO DE 2015, Por la cual se profiere fallo de segunda instancia en el proceso 0011/2013, investigado WILLIAM SERNA
MESA.
2, Resolución 869 del 15 de julio de 2015 mediante la cual se resolvió el recurso de reposición presentado por Santa Rosa de Cabal. Resolución 926 del 29 de julio de 2015 mediante la cual se resolvió el recurso de reposición presentado por San Estanislao de Kostka.</t>
  </si>
  <si>
    <t>Aprobación de la Política de Prevención del Daño Antijurídico, por parte del Comité de Conciliación y Defensa Judicial de la Entidad.</t>
  </si>
  <si>
    <t>Dentro de los meses de Julio y Agosto se atendio un total de 50 peticiones de las cuales 4 se atendieron en un término mayor a 15 días</t>
  </si>
  <si>
    <t>Información que no depende directamente de la Oficina Asesora Jurídica</t>
  </si>
  <si>
    <t>Se da respuesta a cada una de las acciones judiciales en contra de la UNGRD dentro de los terminos legales con un total para el mes de Julio con 44 y Agosto de 30 acciones</t>
  </si>
  <si>
    <t>Se generan nuevos hallazgos después de realizar el diagnostico por parte de la OCI junto con la OAJ</t>
  </si>
  <si>
    <t>Se asistió a la totalidad de las reuniones programadas por parte de la Oficina Asesora de Planeación</t>
  </si>
  <si>
    <t>No se ha realizado la reunion de retroalimentación del mes de Julio</t>
  </si>
  <si>
    <t>tres abogados de la Oficina fueron solicitados por la emergencia en la frontera con venezuela, haciendo que las diferentes peticiones, procesos, tutelas y demas sean atendidos por un número menor de abogados, acarreando disminuación en tiempo para realizar la reunión</t>
  </si>
  <si>
    <t>Se realizó el cargue de todos los indicadores de la OAJ en la Plataforma con corte a Agosto</t>
  </si>
  <si>
    <t>Se realizó el seguimiento al mapa de riesgos por procesos, donde se evidenciaron y sugirieron cambios que estan por aprobación del Jefe de la Oficina Asesora Jurídica</t>
  </si>
  <si>
    <t>Se presentaron varios puntos de vista dando cabida a sugerencias que estan pendiente por aprobación del jefe de la Oficiana Asesora Jurídica</t>
  </si>
  <si>
    <t>SEGUIMIENTO CUARTO BIMESTRE DE 2015</t>
  </si>
  <si>
    <t>Proceso para transferir al año 2016 dado que la Fundación con la que se estaban realizando los estudios previos da por cerrado su agenda para la contratación de sus servicios para el años 2015.</t>
  </si>
  <si>
    <t>Jalime</t>
  </si>
  <si>
    <t>Estrategia de  comunicación para la difusión de los dos simulacros.</t>
  </si>
  <si>
    <t>Emisión de los boletines de junio y julio, difundido a  la base de datos.</t>
  </si>
  <si>
    <t>Base incluida para el  III Encuentro de Comunicadores, y base de datos de ciudadanos.</t>
  </si>
  <si>
    <t>Evento del mes de octubre adelantado para el mes de agosto dada la conyuntura de Simualcros que era necesario compartir con ellos. Realizado el 27 y 28 de agosto en Bogotá</t>
  </si>
  <si>
    <t xml:space="preserve">Envío de Boletines, comunicados.
Informativos por  Día de la Armada Nacional
Informativo por Día  del Ejército Nacional de Colombia.
Informativo por cumpleaños del IGAC </t>
  </si>
  <si>
    <t>Se hizo la corrección de los estudios previos y el 20 de agosto dla fiduciaria envío los documentos a Maloka para la firma de la minuta.</t>
  </si>
  <si>
    <t>Ejecución de Video Simulacro Nacional. Plan de grabación, story board, cronogama de grabación.
Se perfeccionóel otrosí #1.</t>
  </si>
  <si>
    <t>Recolección de testimonios en diferentes eventos, especialmente en la atención frontera.</t>
  </si>
  <si>
    <t>335 post y tweets en redes sociales. Facebook y Twitter.</t>
  </si>
  <si>
    <t>Microstio de prevención de incendios forestales.</t>
  </si>
  <si>
    <t>Sesión del 14 de julio con William Tovar para la presentación de Sibru</t>
  </si>
  <si>
    <t>Se ha participado en las capacitaciones y socializaciones , pero el décreto no se ha expedido para la inclusión del Manual.</t>
  </si>
  <si>
    <t>Monitoreo diario</t>
  </si>
  <si>
    <t>20 comunicados de prensa de interés nacional .</t>
  </si>
  <si>
    <t>Informe Especial asistencia técnica en las regiones</t>
  </si>
  <si>
    <t xml:space="preserve">Rueda de prensa PMU (Procuraduría, ICBF, Registraduría, UNGRD). Organizada UNGRD
Rueda de prensa UN. Organizada UNGRD 
</t>
  </si>
  <si>
    <t>Encuesta interna realizada en el mes de Agosto.</t>
  </si>
  <si>
    <t>Producción y envío de Unidad Express, boletin interno, del mes de ajulio.</t>
  </si>
  <si>
    <t>Actualización con comercial  temporada de lluvias y dos meses en imágenes.</t>
  </si>
  <si>
    <t>55 carpetas con 1263 fotografias y videos realizados durante los mese de julio y agosto.</t>
  </si>
  <si>
    <t>Actualización del proceso misional de atención en Salgar, Antiioquia, con fecha del 13 de julio.</t>
  </si>
  <si>
    <t>Video de mes en imágenes correspondiente a los meses de julio y agosto.</t>
  </si>
  <si>
    <t>Capacitación  realizada en el mes de agosto, para conocer sobre fotografía y sus técnicas.</t>
  </si>
  <si>
    <t>Trámite en código cívico para la divulgación de la píeza comercial de temporada de lluvias.</t>
  </si>
  <si>
    <t xml:space="preserve">En el mes de julio se desarrolla nuevamente el proceso contractual para el repositorio, debido a que el primer proceso fue declarado desierto, se solicitan nuevas cotizaciones, se ajustan los estudios previos, para el mes de agosto  se publica en el Secop </t>
  </si>
  <si>
    <t xml:space="preserve">El centro de documentación de Corpoguajira envía inventario de identificación de documentos para digitalización 24 julio 2015
Corpoamazonía el 27 julio solicita tiempo para la entrega de mapeo de actores sociales
Centro de Documentación de Corpoboyaca realiza envío de mapeo interno 03 agosto 2015
</t>
  </si>
  <si>
    <t>Julio: 50         Agosto: 20</t>
  </si>
  <si>
    <t xml:space="preserve">Desde el mes de julio para dar cumplimiento al plan de acción del Centro de Documentación en incrementar el número de visitantes a través del uso de herramientas y campañas de comunicación, se envía un documento mensual al web master de la OAC para promocionarlo en las diferentes redes sociales.  </t>
  </si>
  <si>
    <t>Complementación de esquema liderado por la OCI para su seguimiento.</t>
  </si>
  <si>
    <t>Seguimiento efectuado.</t>
  </si>
  <si>
    <t>Participación  en reuniones mensuales siplag del mes de julio y agosto.</t>
  </si>
  <si>
    <t>Socialización interna al área sobre los avances siplag  en julio y agosto soportados en acta.</t>
  </si>
  <si>
    <t>Se hace de modo trimestral por lo que está contemplado desde julio hasta septiembre.</t>
  </si>
  <si>
    <t>Las elecciones para representantes de los empleados ante la Comisión de Personal se efectuó el 31 de Julio de 2015, por lo cual, la sesión desarrollada en el segundo semestre corresponde a la del mes de Agosto de 2015, la cual se efectuó exactamente el 31 de Agosto de 2015.</t>
  </si>
  <si>
    <t>No se contaba con representantes de los empleados ante la comisión de personal, por lo cual no se realizaron las sesiones</t>
  </si>
  <si>
    <t>Dado que la nueva comisión de personal empezó a operar en el mes de Agosto de 2015, se solicitó ante la CNSC la entrega de usuario y contraseña para realizar el respectivo registro.</t>
  </si>
  <si>
    <t>La actividad fue realizada en el mes de Febrero de 2015</t>
  </si>
  <si>
    <t>se registraron  para el mes de Julio y Agosto  79 solicitudes de permisos con mayoria de categorizacion como Diligencias Personales e incapacidades fueron registradas 13</t>
  </si>
  <si>
    <t>en el mes de julio 3 afiliaciones y  4 en agosto</t>
  </si>
  <si>
    <t xml:space="preserve">Durante los meses de julio y agosto, no se efectuaron creacion de usuarios  en el Sistema de Información y Gestión del Empleo Público (SIGEP) </t>
  </si>
  <si>
    <t xml:space="preserve">Durante los meses de julio y agosto no se efectuaron modificacion de usuarios en el Sistema de Información y Gestión del Empleo Público (SIGEP) </t>
  </si>
  <si>
    <t xml:space="preserve">Durante los meses de julio y agosto no se efectuaron desvinculaciones de usuarios en el Sistema de Información y Gestión del Empleo Público (SIGEP) </t>
  </si>
  <si>
    <t xml:space="preserve">Durante los meses de julio y agosto no se efectuaron actualizaciones de usuarios en el Sistema de Información y Gestión del Empleo Público (SIGEP) </t>
  </si>
  <si>
    <t xml:space="preserve">Para el mes de Juli  se actualizaron 28  historias laborales 
Para el mes de Junio se actualizaron 32 historias laborales </t>
  </si>
  <si>
    <t>Se expide y suscribir las certificaciones solicitadas por funcionarios durante el mes de julio se expidieron 13 certificados y en agosto 17 certificados</t>
  </si>
  <si>
    <t>Durante el mes de julio y agosto no se recibieron solicitudes de exfuncionarios</t>
  </si>
  <si>
    <t>Durante el mes de julio y agosto se recibieron cuatro (4) solicitudes de certificados de insuficiencia de personal, los cuales fueron expedidos por el Grupo de Talento Humano</t>
  </si>
  <si>
    <t>El sistema  de control de ingreso a  las intalaciones SERVER-IN se  encuetra  en proceso de  revision</t>
  </si>
  <si>
    <t>Se realizó reunión con el equipo el 11 de agosto.</t>
  </si>
  <si>
    <t>en el mes de julio 55 y en el mes de agosto 52, para un acumulado de enero al 30 de agosto de 419</t>
  </si>
  <si>
    <t>en el mes de julio 32 y en el mes de agosto 31, para un acumulado de enero al 30 de agosto de 229</t>
  </si>
  <si>
    <t xml:space="preserve">En los meses de  Julio y  Agosto se  efectuaron 46 pagos  de  viaticos  mediante la  caja menor </t>
  </si>
  <si>
    <t xml:space="preserve">Se tramitaron 27 ordenes de  pago de gastos de  viaje del Proyecto de  Inversion  ante financiera </t>
  </si>
  <si>
    <t xml:space="preserve">Se tramitaron y recibieron 46 legalizaciones de  viaticos por la Caja Menor </t>
  </si>
  <si>
    <t xml:space="preserve">Se realizaron los reembolso  quinto y sexto de Caja Menor durante los meses de   julio y agosto </t>
  </si>
  <si>
    <t>Julio 61 tkt expedidos 
Agosto 52 tkt expedidos</t>
  </si>
  <si>
    <t>Julio 22 tkt expedidos 
Agosto 24 tkt expedidos</t>
  </si>
  <si>
    <t>Julio 95 tkt expedidos 
Agosto 128 tkt expedidos</t>
  </si>
  <si>
    <t>El valor de ejecucion para el contrato de tiquetes de emergencias corresponde a $45,716,319</t>
  </si>
  <si>
    <t>Se alaboró el diagnostico</t>
  </si>
  <si>
    <t xml:space="preserve">Raelización del estudio de mercado para contrato de Bienestar. 2,realización de actividad Minga perteneciente al componente Cuidao y disfrute. 3,Conmemoración del día del economista y del transportador. 4, Conmemoración cumpleaños servidores: 31 tarjetas . 5, #12 Bienvenida a nuevos servidores:  6, acompañamiento en inscripciones y demas actividades  de deportistas para Juegos de la Función pública.  7, reuniones seguimiento actividades plan de bienestar los dias: 6,6,9,14 y 21. </t>
  </si>
  <si>
    <t>No se ha ejecutado, ya que el contrato esta en proceso de ralización</t>
  </si>
  <si>
    <t>No se han tenido avances.</t>
  </si>
  <si>
    <t>El equipo de 3 integrantes con que cuenta la entidad, no han definido el proyecto de trabajo. Se realizó reunión de seguimiento y acompañamiento con el equipo el día 3 de julio, para dar orientaciones sobre la definición del tema pero aun no se ha delimitado.</t>
  </si>
  <si>
    <t>Se logró realizar el 91% de lo programado para los meses de Julio y Agosto.</t>
  </si>
  <si>
    <t>No todas las personas inscritas en los espacios de formación y capacitación asisten a las jornadas programadas.</t>
  </si>
  <si>
    <t>Se reprograma para el mes de noviembre de 2015, toda vez que se realizrá en el marco de las actividades de bienestar de la entidad.</t>
  </si>
  <si>
    <t>Se realizó reunión con el equipo el 11 de agosto para presentar los avances del mes de julio. Se programará reunión en Septiembre para presentar los avances de agosto.</t>
  </si>
  <si>
    <t>Asistencia de acuerdo a programación</t>
  </si>
  <si>
    <t>A pesar que en las reuniones de seguimiento se solicita y se recuerda realizar el cargue antes del 15 de cada mes, de acuerdo al último reporte presentado por SIPLAG, GTH se encuentras en un 7% del diligenciamiento total que le corresponde.</t>
  </si>
  <si>
    <t>En el mes de julio se remitieron los procedimientos: Gestión de caja menor de viáticos y gastos de viaje y liquidación viáticos y gastos de viaje, para aprobación por la Coordinación y cargue en Neogestión</t>
  </si>
  <si>
    <t xml:space="preserve">La actividad esta programada para el ultimo mes de la vigencia. </t>
  </si>
  <si>
    <t xml:space="preserve">Se cumplió con el total de la demanda. </t>
  </si>
  <si>
    <t>El Plan de Adquisiciones se actalizo en el mes de Julio.</t>
  </si>
  <si>
    <t>Se actualizo el Plan Anual de Adquisicones y se público en las páginas correspondientes.</t>
  </si>
  <si>
    <t>Se ha hecho las actualizaciones pertineentes sobre el asunto.</t>
  </si>
  <si>
    <t>Se hace una veez al año y se hace en el mes de enero</t>
  </si>
  <si>
    <t>se realizaron en julio 2 reembolsos y en agosto 1</t>
  </si>
  <si>
    <t>El cierre de la Caja Menor de gastos genereales  se hace  en el mes de diciembre.</t>
  </si>
  <si>
    <t>Ya se realizo en en el mes de jullio</t>
  </si>
  <si>
    <t>Se realizaron varias capacitaciones.</t>
  </si>
  <si>
    <t>11 entre entradas y reintegros y 14 entre salidas y trraspasos.</t>
  </si>
  <si>
    <t>Manejo en la plattaforma web, Modulo elementos de control, y a fecha de hoy (10/10/15),  see iniciarán pruebas para el moduo de Activos Fijos.</t>
  </si>
  <si>
    <t>Se realizaron 44 registros de entregas de consumo a cabalidad.</t>
  </si>
  <si>
    <t>Entregas de papel y toners en las diferentes Dependencias de la UNGRD, Según lo solicitado por cada una de ellas.</t>
  </si>
  <si>
    <t>Jornadas de divulgación de consumo de papel, energia para ayudar a conservar el medio ambiente.</t>
  </si>
  <si>
    <t>No hubo observaciones al respecto por parte de los Entes de Control y/o la Oficina de Control Interno de la Unidad.</t>
  </si>
  <si>
    <t>De acuerdo con los planes de mejoramiento se cumplió a cabalidad con el 100% de las actividades,  donde Gestio´Docuemnatl cumplió el 84%</t>
  </si>
  <si>
    <t>Por reenstructuraciones del proceso de Gestión administativa, no se llevo a cabo el debido seguimiento.</t>
  </si>
  <si>
    <t>Se modifican y se  crean nuevos documentos de acuerdo a la resntructuración del proceso de Gestión Administrativa.</t>
  </si>
  <si>
    <t>Se actualizo el 31 de agosto del año en curso y se unifican  quedando solo un mapa de riesgo..</t>
  </si>
  <si>
    <t>Se informo al Grupo de Apoyo Administrativo loass fechas e Auditoria y Pre-Auditoria de certiificación.</t>
  </si>
  <si>
    <t>Cambios y renstructuración el el Grupo de Apoyo Administrativo.</t>
  </si>
  <si>
    <t>Cada responsable de los subprocesos cumplieron a cabalidad con el debido cargue de la respectiva información.</t>
  </si>
  <si>
    <t>Se actualizo el 31 de agosto del año en curso y quedo unos solo.</t>
  </si>
  <si>
    <t>Se solucionaron todos los apoyos solicitados por los funcionarios y contratistas en cuanto a soporte de software y hardware. En el mes de agosto se realizaron 365 soportes</t>
  </si>
  <si>
    <t>A partir del 20 de julio el servicio de Canales de internet para la UNGRD, Sede B y Centro Nacional Logistico se realiza a través del proveedor Level 3.</t>
  </si>
  <si>
    <t>Se realiza la supervisión del contrato UNGRD-77. Orden de compra 2868</t>
  </si>
  <si>
    <t>Se encuenran configurados e instalados 4 servidores en el Data Center ubicado en la zona franca de Fontibón, los cuales contienen algunos de los sistemas de información de la UNGRD.</t>
  </si>
  <si>
    <t xml:space="preserve">Se realiza la Supervisión al contrato 9677-04-236-2014 </t>
  </si>
  <si>
    <t>Todos los equipos solicitados se han configurado y puesto en funcionamiento a los nuevos contratistas y funcionarios de diferentes Dependencias de la UNGRD.</t>
  </si>
  <si>
    <t>Se realiza Supervisión contrato 9677-PPAL001-333-2015</t>
  </si>
  <si>
    <t>Se tienen configuradoas a corte agosto 487 usuarios en la plataforma de correo. Se inactivan cuentas de funcionarios retirados y se realiza copias.</t>
  </si>
  <si>
    <t>Se realiza la Supervisión al Contrato UNGRD-70-2015</t>
  </si>
  <si>
    <t>Se envia ficha técnica a proveedores para realizar estudio de mercado.</t>
  </si>
  <si>
    <t>Se hace una copia diaria incremental en el Servidor, y una mensual copia total de lo alojado en el servidor</t>
  </si>
  <si>
    <t>Se realizo estudio de mercado y estudios previos para contratación. Este proyecto esta en Stand By hasta nueva orden de Secretaría General</t>
  </si>
  <si>
    <t>Se envia ficha tecnica a proveedores para realizar estudio de mercado.</t>
  </si>
  <si>
    <t>A corte 30 de agosto se realiza la supervisión de 6 contratos: Canales de Internet, Colocation, Correo a traves de Google apps, alquiler de equipos de computo y dos profesionales de soporte.</t>
  </si>
  <si>
    <t>Se realiza  las copias de seguridad de lunes a viernes en la unidad de copias.</t>
  </si>
  <si>
    <t>Se realiza monitoreo de la red y servidores diariamente utilizando una herramienta de monitoreo.</t>
  </si>
  <si>
    <t>Se verifica la conexión de las máquinas en caso de presentarse fallos o por solicitud del usuario.</t>
  </si>
  <si>
    <t>Se utiliza la nueva herramienta de monitoreo para verificar el funcionamiento de los canales de internet a través de la plataforma web suministrada por el proveedor level3.</t>
  </si>
  <si>
    <t xml:space="preserve">Se administra la configuración de todos los correos a traves del administrador de google y se realizan las copias de los usuarios que ya no estan en la entidad. </t>
  </si>
  <si>
    <t xml:space="preserve">Se monitorea a través del administrador de la herramienta PCSecure todas las estaciones clientes de la Unidad. </t>
  </si>
  <si>
    <t>No aplica teniendo en cuenta que se tiene que realizar en el mes de diciembre</t>
  </si>
  <si>
    <t>Se realizará  en el mes de noviembre</t>
  </si>
  <si>
    <t>Se realizo en el mes de enero, donde se hizo  el segumiento correspondiente. En el mes de septiembre se actualizo la información correspondiente al tercer trimestre.</t>
  </si>
  <si>
    <t>Se realizo el último seguimiento al mes de septiembre</t>
  </si>
  <si>
    <t>En el mes de noviembre y diciembre se espera dar cuplimiento a lo mencionado.</t>
  </si>
  <si>
    <t>Se actualizaron los 3 procedimientos.</t>
  </si>
  <si>
    <t>Se adelantaron cotizacines correspondientes, donde también se ampliará la Oficina de Atención al Ciudadano.</t>
  </si>
  <si>
    <t>Temas de Áreas Misionales, Patricia Arenas y el Ing. Richard Vargas son las encargados de la aplicación de encuestas.</t>
  </si>
  <si>
    <t>Se encuentra publicado en la pág. Web</t>
  </si>
  <si>
    <t>Se llevo a cabo la socialización por medio el Boletín Express de la UNGRD.</t>
  </si>
  <si>
    <t>La socializaciópn esta prevista para el mes de noviembre.</t>
  </si>
  <si>
    <t>Se tiene que hacer la actualización semestralmente, por lo tanto, en el mees de diciembre se debe realizar dicha actualización.</t>
  </si>
  <si>
    <t>Se elaboró un documento, donde  se revisarán  las adecuaciones para la oficina.de Atención al Ciudadano</t>
  </si>
  <si>
    <t>Se realizó una capacitación.</t>
  </si>
  <si>
    <t>Se está elaborando.</t>
  </si>
  <si>
    <t>Se elimino de la herramienta de Neo-Gestión el formato, por lo tanto no hay perfeccionamiento</t>
  </si>
  <si>
    <t>Se llevaron a cabalidad los eventos .</t>
  </si>
  <si>
    <t>Se llevaron a cabalidad los eventos  .</t>
  </si>
  <si>
    <t>De acuerdo a las solicitudes eralizadas por los  Brigadistas.</t>
  </si>
  <si>
    <t>No se  llevará a acabo.</t>
  </si>
  <si>
    <t>Se envió CAT-DDO</t>
  </si>
  <si>
    <t>Realizar un taller de intercambio de experiencias de incorporación de la Gestión del Riesgo en los proyectos de inversión pública</t>
  </si>
  <si>
    <t>No. De talleres de intercambio de experiencias</t>
  </si>
  <si>
    <t xml:space="preserve">El pasado 25 de marzo de 2015, se llevó a cabo el taller Nacional  para la Gestión del Riesgo de Desastres  en la planificación e inversión pública en Colombia  un enfoque sectorial, en el marco del proyecto UNISDR- DEVCO, con la participación de las 19 entidades relevantes en la inversión pública. De este taller se pudo concluir que existe un progreso por parte de diferentes sectores en cuanto a la incorporación de la Gestión de Riesgo en la inversión pública. Y que lo importante es continuar con este tipo de actividades  de intercambio de experiencias y lecciones aprendidas en cuanto a que se deben repetir cada año.
De acuerdo con lo anterior la actividad del 2015 ya fue realizada  por la UNGRD y la próxima seria en el 2016.
</t>
  </si>
  <si>
    <t>Se requiere cambiar la redacción de la Estrategia y la Actividad toda vez que esta no debe ser delimitarla  a reducción del riesgo, por lo tanto se debe eliminar el texto subrayado en rojo</t>
  </si>
  <si>
    <t>Esta fecha se debe aplazar el cumplmiento de esta actividad para el mes de noviembre dado que se requiere que el PNGRD esté aprobado por el Consejo Naci onal de Gestión del Riesgo y adoptado por Decreto</t>
  </si>
  <si>
    <t xml:space="preserve">Esta fecha se debe aplazar dado que el PNGRD aún no está aprobado y adoptado por Decreto </t>
  </si>
  <si>
    <t xml:space="preserve">Se elaboro protocolo de liempieza el cual esta para revisión de la coordinación. Se enviaron tablas de retención documental y se encuentra en revisión por parte del comité evaluador del AGN. </t>
  </si>
  <si>
    <t>Fue validado y firmado por Cancillería y UNGRD.</t>
  </si>
  <si>
    <t>Hasta Sepriembre fue firmado por APC.</t>
  </si>
  <si>
    <t>Hablar sobre la firma de todas las entidades.</t>
  </si>
  <si>
    <t>Demora de APC para validar el documento</t>
  </si>
  <si>
    <t>Por orden del Director esta actividad ya no se realizará</t>
  </si>
  <si>
    <t>Demora en la respuesta de la U de los Andes para la firma del convenio. -Fundación Terres des Hommes está listo para que el Director lo firme.</t>
  </si>
  <si>
    <t>Se ha realizado la debida verificación de los convenios a vencerse, hay varios por instrucción del director que no se renovarán.</t>
  </si>
  <si>
    <t>Seminario de Cambio Climatico y  Prevencion de Desastrers en la Agricultura  para el desarrollo de los paises (Beijing, China). - Taller Regional  de Consulta de la INiciativa Nansen (Quito, Ecuador). -III Diplomado de Tsunamis (Chile). -Taller Internacional sobre Inversión Pública con enfoque de reducción de riesgo a desastre y adaptación al cambio climático en Nicaragua, por una inversión pública resiliente y adaptada al cambio climático. -Negociación de Cambio Climatico (Bonn, Alemania)</t>
  </si>
  <si>
    <t>Asesor JICA evaluación de la implementación de la Ley 1523 de 2012</t>
  </si>
  <si>
    <t>Donación de la  CAF en atención a la emergencia de Salgar</t>
  </si>
  <si>
    <t>Consultas y asesorías con respecto a temas preparatorios del SIBRU. Apoyo a la formulación del guión de OSOCC</t>
  </si>
  <si>
    <t>YA SE REALIZO</t>
  </si>
  <si>
    <t>Lanzamiento del proyecto de Inundaciones con JICA. -Visita del Secretario GENERAL DE LA Federación Internacional Cruz Roja. -Reunión de seguimiento bimensual de implementación de proyectos DIPECHOS</t>
  </si>
  <si>
    <t>Participación en la Reunión de la Plataforma de Acción Mejorada del Durban (ADP) 2.10 en Bonn Alemania</t>
  </si>
  <si>
    <t xml:space="preserve">Reuniones con ICA, INVIMA, DIAN y Migración Colombia en preparación al SIBRU </t>
  </si>
  <si>
    <t>Visita de la Cruz Roja de Brasil</t>
  </si>
  <si>
    <t>YA SE REALIZÓ</t>
  </si>
  <si>
    <t>Se ha asistido a todas</t>
  </si>
  <si>
    <t>las ultimas dos retoralimetaciones han sido aplzadas debido a las situaciones en frontera y posteriormente la realizacion del SIBRU</t>
  </si>
  <si>
    <t>Se trabaja en una de las actividades del plan de accion correctivo, se llego ya a consolidar un solo indicador para proceso.</t>
  </si>
  <si>
    <t>Se hizo reporte en avances al mapa de riesgos por procesos a la oficina de control interno y asesora de planeación</t>
  </si>
  <si>
    <t>Se hizo reporte en avances al mapa de riesgos por porcesos a la oficina de control interno y asesora de planeación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</si>
</sst>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_(* \(#,##0\);_(* &quot;-&quot;_);_(@_)"/>
    <numFmt numFmtId="44" formatCode="_(&quot;$&quot;\ * #,##0.00_);_(&quot;$&quot;\ * \(#,##0.00\);_(&quot;$&quot;\ * &quot;-&quot;??_);_(@_)"/>
    <numFmt numFmtId="43" formatCode="_(* #,##0.00_);_(* \(#,##0.00\);_(* &quot;-&quot;??_);_(@_)"/>
    <numFmt numFmtId="164" formatCode="&quot;$&quot;\ #,##0"/>
    <numFmt numFmtId="165" formatCode="dd/mm/yyyy;@"/>
    <numFmt numFmtId="166" formatCode="&quot;$&quot;\ #,##0.00"/>
    <numFmt numFmtId="167" formatCode="0.0%"/>
    <numFmt numFmtId="168" formatCode="&quot;$&quot;\ #,##0.00;[Red]&quot;$&quot;\ #,##0.00"/>
    <numFmt numFmtId="169" formatCode="&quot;$ &quot;#,##0.00"/>
    <numFmt numFmtId="170" formatCode="_(* #,##0.00_);_(* \(#,##0.00\);_(* \-??_);_(@_)"/>
    <numFmt numFmtId="171" formatCode="&quot;$ &quot;#,##0.00;[Red]&quot;$ &quot;#,##0.00"/>
    <numFmt numFmtId="172" formatCode="_(&quot;$ &quot;* #,##0.00_);_(&quot;$ &quot;* \(#,##0.00\);_(&quot;$ &quot;* \-??_);_(@_)"/>
    <numFmt numFmtId="173" formatCode="_(* #,##0_);_(* \(#,##0\);_(* \-??_);_(@_)"/>
    <numFmt numFmtId="174" formatCode="&quot;$ &quot;#,##0"/>
    <numFmt numFmtId="175" formatCode="[$$-240A]\ #,##0"/>
    <numFmt numFmtId="176" formatCode="_(* #,##0_);_(* \(#,##0\);_(* &quot;-&quot;??_);_(@_)"/>
    <numFmt numFmtId="177" formatCode="_(* #,##0.0_);_(* \(#,##0.0\);_(* &quot;-&quot;??_);_(@_)"/>
    <numFmt numFmtId="178" formatCode="_(&quot;$&quot;\ * #,##0_);_(&quot;$&quot;\ * \(#,##0\);_(&quot;$&quot;\ * &quot;-&quot;??_);_(@_)"/>
  </numFmts>
  <fonts count="102">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4"/>
      <color theme="1"/>
      <name val="Calibri"/>
      <family val="2"/>
      <scheme val="minor"/>
    </font>
    <font>
      <b/>
      <sz val="14"/>
      <color theme="1"/>
      <name val="Arial"/>
      <family val="2"/>
    </font>
    <font>
      <b/>
      <sz val="11"/>
      <color theme="1"/>
      <name val="Arial"/>
      <family val="2"/>
    </font>
    <font>
      <b/>
      <sz val="16"/>
      <color theme="0"/>
      <name val="Arial"/>
      <family val="2"/>
    </font>
    <font>
      <b/>
      <sz val="12"/>
      <color theme="0"/>
      <name val="Arial"/>
      <family val="2"/>
    </font>
    <font>
      <sz val="11"/>
      <color theme="1"/>
      <name val="Arial"/>
      <family val="2"/>
    </font>
    <font>
      <b/>
      <sz val="11"/>
      <color rgb="FFFF0000"/>
      <name val="Arial"/>
      <family val="2"/>
    </font>
    <font>
      <b/>
      <sz val="11"/>
      <name val="Arial"/>
      <family val="2"/>
    </font>
    <font>
      <b/>
      <sz val="11"/>
      <color theme="0"/>
      <name val="Arial"/>
      <family val="2"/>
    </font>
    <font>
      <b/>
      <sz val="10"/>
      <color theme="0"/>
      <name val="Arial"/>
      <family val="2"/>
    </font>
    <font>
      <b/>
      <sz val="7"/>
      <color theme="0"/>
      <name val="Arial"/>
      <family val="2"/>
    </font>
    <font>
      <b/>
      <sz val="7"/>
      <color theme="1"/>
      <name val="Arial"/>
      <family val="2"/>
    </font>
    <font>
      <sz val="7"/>
      <color theme="1"/>
      <name val="Arial"/>
      <family val="2"/>
    </font>
    <font>
      <b/>
      <sz val="10"/>
      <color theme="1"/>
      <name val="Arial"/>
      <family val="2"/>
    </font>
    <font>
      <b/>
      <sz val="10"/>
      <name val="Arial"/>
      <family val="2"/>
    </font>
    <font>
      <sz val="10"/>
      <color theme="1"/>
      <name val="Arial"/>
      <family val="2"/>
    </font>
    <font>
      <b/>
      <sz val="7"/>
      <name val="Arial"/>
      <family val="2"/>
    </font>
    <font>
      <sz val="7"/>
      <name val="Arial"/>
      <family val="2"/>
    </font>
    <font>
      <b/>
      <sz val="10"/>
      <color rgb="FFFF0000"/>
      <name val="Arial"/>
      <family val="2"/>
    </font>
    <font>
      <sz val="7"/>
      <color theme="0"/>
      <name val="Arial"/>
      <family val="2"/>
    </font>
    <font>
      <sz val="10"/>
      <color rgb="FFFF0000"/>
      <name val="Arial"/>
      <family val="2"/>
    </font>
    <font>
      <b/>
      <sz val="11"/>
      <color rgb="FFFF0000"/>
      <name val="Calibri"/>
      <family val="2"/>
      <scheme val="minor"/>
    </font>
    <font>
      <sz val="10"/>
      <color theme="0"/>
      <name val="Arial"/>
      <family val="2"/>
    </font>
    <font>
      <sz val="11"/>
      <color theme="0"/>
      <name val="Calibri"/>
      <family val="2"/>
      <scheme val="minor"/>
    </font>
    <font>
      <sz val="11"/>
      <color theme="0"/>
      <name val="Arial"/>
      <family val="2"/>
    </font>
    <font>
      <b/>
      <sz val="16"/>
      <name val="Arial"/>
      <family val="2"/>
    </font>
    <font>
      <sz val="10"/>
      <color theme="1"/>
      <name val="Calibri"/>
      <family val="2"/>
      <scheme val="minor"/>
    </font>
    <font>
      <sz val="9"/>
      <name val="Arial"/>
      <family val="2"/>
    </font>
    <font>
      <sz val="8"/>
      <name val="Arial"/>
      <family val="2"/>
    </font>
    <font>
      <b/>
      <sz val="10"/>
      <color indexed="8"/>
      <name val="Arial"/>
      <family val="2"/>
    </font>
    <font>
      <sz val="8"/>
      <color theme="1"/>
      <name val="Arial"/>
      <family val="2"/>
    </font>
    <font>
      <sz val="9"/>
      <color theme="1"/>
      <name val="Arial"/>
      <family val="2"/>
    </font>
    <font>
      <sz val="10"/>
      <color indexed="8"/>
      <name val="Arial"/>
      <family val="2"/>
    </font>
    <font>
      <b/>
      <sz val="9"/>
      <name val="Tahoma"/>
      <family val="2"/>
    </font>
    <font>
      <sz val="9"/>
      <name val="Tahoma"/>
      <family val="2"/>
    </font>
    <font>
      <b/>
      <sz val="9"/>
      <color theme="0"/>
      <name val="Arial"/>
      <family val="2"/>
    </font>
    <font>
      <sz val="11"/>
      <color indexed="8"/>
      <name val="Calibri"/>
      <family val="2"/>
    </font>
    <font>
      <sz val="9"/>
      <color indexed="9"/>
      <name val="Arial"/>
      <family val="2"/>
    </font>
    <font>
      <sz val="9"/>
      <color theme="0"/>
      <name val="Arial"/>
      <family val="2"/>
    </font>
    <font>
      <b/>
      <sz val="9"/>
      <color theme="1"/>
      <name val="Arial"/>
      <family val="2"/>
    </font>
    <font>
      <b/>
      <sz val="8"/>
      <color theme="1"/>
      <name val="Arial"/>
      <family val="2"/>
    </font>
    <font>
      <b/>
      <sz val="9"/>
      <name val="Arial"/>
      <family val="2"/>
    </font>
    <font>
      <sz val="7"/>
      <color indexed="9"/>
      <name val="Arial"/>
      <family val="2"/>
    </font>
    <font>
      <sz val="9"/>
      <color theme="1"/>
      <name val="Calibri"/>
      <family val="2"/>
      <scheme val="minor"/>
    </font>
    <font>
      <b/>
      <sz val="11"/>
      <color indexed="8"/>
      <name val="Calibri"/>
      <family val="2"/>
    </font>
    <font>
      <sz val="11"/>
      <color indexed="8"/>
      <name val="Arial"/>
      <family val="2"/>
    </font>
    <font>
      <b/>
      <sz val="11"/>
      <color indexed="8"/>
      <name val="Arial"/>
      <family val="2"/>
    </font>
    <font>
      <b/>
      <sz val="7"/>
      <color indexed="8"/>
      <name val="Arial"/>
      <family val="2"/>
    </font>
    <font>
      <b/>
      <sz val="7"/>
      <color indexed="9"/>
      <name val="Arial"/>
      <family val="2"/>
    </font>
    <font>
      <b/>
      <sz val="10"/>
      <color indexed="9"/>
      <name val="Arial"/>
      <family val="2"/>
    </font>
    <font>
      <sz val="7"/>
      <color indexed="8"/>
      <name val="Arial"/>
      <family val="2"/>
    </font>
    <font>
      <b/>
      <sz val="10"/>
      <color indexed="50"/>
      <name val="Arial"/>
      <family val="2"/>
    </font>
    <font>
      <sz val="11"/>
      <color indexed="9"/>
      <name val="Arial"/>
      <family val="2"/>
    </font>
    <font>
      <sz val="11"/>
      <color indexed="9"/>
      <name val="Calibri"/>
      <family val="2"/>
    </font>
    <font>
      <b/>
      <sz val="12"/>
      <color indexed="9"/>
      <name val="Arial"/>
      <family val="2"/>
    </font>
    <font>
      <b/>
      <sz val="16"/>
      <color indexed="9"/>
      <name val="Arial"/>
      <family val="2"/>
    </font>
    <font>
      <b/>
      <sz val="14"/>
      <color indexed="8"/>
      <name val="Arial"/>
      <family val="2"/>
    </font>
    <font>
      <b/>
      <sz val="14"/>
      <color indexed="8"/>
      <name val="Calibri"/>
      <family val="2"/>
    </font>
    <font>
      <sz val="8"/>
      <color theme="0"/>
      <name val="Arial"/>
      <family val="2"/>
    </font>
    <font>
      <b/>
      <sz val="8"/>
      <color theme="0"/>
      <name val="Arial"/>
      <family val="2"/>
    </font>
    <font>
      <sz val="9"/>
      <color rgb="FFFFFFFF"/>
      <name val="Arial"/>
      <family val="2"/>
    </font>
    <font>
      <sz val="11"/>
      <color theme="0"/>
      <name val="Calibri"/>
      <family val="2"/>
    </font>
    <font>
      <b/>
      <sz val="14"/>
      <name val="Arial"/>
      <family val="2"/>
    </font>
    <font>
      <b/>
      <sz val="14"/>
      <color indexed="9"/>
      <name val="Arial"/>
      <family val="2"/>
    </font>
    <font>
      <sz val="14"/>
      <color indexed="9"/>
      <name val="Arial"/>
      <family val="2"/>
    </font>
    <font>
      <b/>
      <sz val="14"/>
      <color theme="0"/>
      <name val="Arial"/>
      <family val="2"/>
    </font>
    <font>
      <b/>
      <sz val="10"/>
      <color theme="1"/>
      <name val="Calibri"/>
      <family val="2"/>
      <scheme val="minor"/>
    </font>
    <font>
      <b/>
      <sz val="9"/>
      <color indexed="9"/>
      <name val="Arial"/>
      <family val="2"/>
    </font>
    <font>
      <sz val="10"/>
      <color rgb="FF00B050"/>
      <name val="Arial"/>
      <family val="2"/>
    </font>
    <font>
      <sz val="11"/>
      <name val="Arial"/>
      <family val="2"/>
    </font>
    <font>
      <b/>
      <sz val="11"/>
      <color theme="0"/>
      <name val="Arial Narrow"/>
      <family val="2"/>
    </font>
    <font>
      <sz val="11"/>
      <name val="Arial Narrow"/>
      <family val="2"/>
    </font>
    <font>
      <b/>
      <sz val="11"/>
      <color theme="1"/>
      <name val="Arial Narrow"/>
      <family val="2"/>
    </font>
    <font>
      <sz val="11"/>
      <color theme="0"/>
      <name val="Arial Narrow"/>
      <family val="2"/>
    </font>
    <font>
      <b/>
      <sz val="10"/>
      <color theme="0"/>
      <name val="Arial Narrow"/>
      <family val="2"/>
    </font>
    <font>
      <b/>
      <sz val="14"/>
      <color theme="1"/>
      <name val="Arial Narrow"/>
      <family val="2"/>
    </font>
    <font>
      <b/>
      <sz val="10"/>
      <name val="Arial Narrow"/>
      <family val="2"/>
    </font>
    <font>
      <b/>
      <sz val="8"/>
      <color theme="0"/>
      <name val="Arial Narrow"/>
      <family val="2"/>
    </font>
    <font>
      <b/>
      <sz val="11"/>
      <name val="Arial Narrow"/>
      <family val="2"/>
    </font>
    <font>
      <b/>
      <sz val="14"/>
      <name val="Arial Narrow"/>
      <family val="2"/>
    </font>
    <font>
      <b/>
      <sz val="11"/>
      <color indexed="9"/>
      <name val="Arial"/>
      <family val="2"/>
    </font>
    <font>
      <sz val="12"/>
      <color theme="0"/>
      <name val="Arial"/>
      <family val="2"/>
    </font>
    <font>
      <b/>
      <sz val="12"/>
      <name val="Arial"/>
      <family val="2"/>
    </font>
    <font>
      <b/>
      <sz val="8"/>
      <name val="Arial"/>
      <family val="2"/>
    </font>
    <font>
      <sz val="7"/>
      <color rgb="FFFF0000"/>
      <name val="Arial"/>
      <family val="2"/>
    </font>
    <font>
      <b/>
      <sz val="11"/>
      <color rgb="FFFF0000"/>
      <name val="Arial Narrow"/>
      <family val="2"/>
    </font>
    <font>
      <sz val="7"/>
      <color rgb="FF00B050"/>
      <name val="Arial"/>
      <family val="2"/>
    </font>
    <font>
      <b/>
      <sz val="11"/>
      <color rgb="FF00B050"/>
      <name val="Arial Narrow"/>
      <family val="2"/>
    </font>
    <font>
      <b/>
      <sz val="12"/>
      <color theme="1"/>
      <name val="Arial"/>
      <family val="2"/>
    </font>
    <font>
      <b/>
      <sz val="9"/>
      <color indexed="8"/>
      <name val="Arial"/>
      <family val="2"/>
    </font>
    <font>
      <b/>
      <sz val="8"/>
      <color indexed="8"/>
      <name val="Arial"/>
      <family val="2"/>
    </font>
    <font>
      <b/>
      <sz val="12"/>
      <color indexed="8"/>
      <name val="Arial"/>
      <family val="2"/>
    </font>
    <font>
      <b/>
      <sz val="16"/>
      <color theme="1"/>
      <name val="Arial"/>
      <family val="2"/>
    </font>
    <font>
      <b/>
      <sz val="18"/>
      <name val="Arial Narrow"/>
      <family val="2"/>
    </font>
    <font>
      <b/>
      <sz val="18"/>
      <name val="Arial"/>
      <family val="2"/>
    </font>
    <font>
      <sz val="14"/>
      <color indexed="8"/>
      <name val="Calibri"/>
      <family val="2"/>
    </font>
    <font>
      <b/>
      <sz val="16"/>
      <name val="Arial Narrow"/>
      <family val="2"/>
    </font>
    <font>
      <b/>
      <sz val="8"/>
      <name val="Calibri"/>
      <family val="2"/>
    </font>
  </fonts>
  <fills count="49">
    <fill>
      <patternFill/>
    </fill>
    <fill>
      <patternFill patternType="gray125"/>
    </fill>
    <fill>
      <patternFill patternType="solid">
        <fgColor rgb="FF27285D"/>
        <bgColor indexed="64"/>
      </patternFill>
    </fill>
    <fill>
      <patternFill patternType="solid">
        <fgColor theme="2" tint="-0.7499799728393555"/>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3499799966812134"/>
        <bgColor indexed="64"/>
      </patternFill>
    </fill>
    <fill>
      <patternFill patternType="solid">
        <fgColor rgb="FF62FB25"/>
        <bgColor indexed="64"/>
      </patternFill>
    </fill>
    <fill>
      <patternFill patternType="solid">
        <fgColor theme="3" tint="0.7999799847602844"/>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theme="2" tint="-0.7499799728393555"/>
        <bgColor indexed="64"/>
      </patternFill>
    </fill>
    <fill>
      <patternFill patternType="solid">
        <fgColor theme="9" tint="0.7999799847602844"/>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59"/>
        <bgColor indexed="64"/>
      </patternFill>
    </fill>
    <fill>
      <patternFill patternType="solid">
        <fgColor theme="0"/>
        <bgColor indexed="64"/>
      </patternFill>
    </fill>
    <fill>
      <patternFill patternType="solid">
        <fgColor indexed="11"/>
        <bgColor indexed="64"/>
      </patternFill>
    </fill>
    <fill>
      <patternFill patternType="solid">
        <fgColor indexed="63"/>
        <bgColor indexed="64"/>
      </patternFill>
    </fill>
    <fill>
      <patternFill patternType="solid">
        <fgColor indexed="22"/>
        <bgColor indexed="64"/>
      </patternFill>
    </fill>
    <fill>
      <patternFill patternType="solid">
        <fgColor indexed="10"/>
        <bgColor indexed="64"/>
      </patternFill>
    </fill>
    <fill>
      <patternFill patternType="solid">
        <fgColor rgb="FFFFFF00"/>
        <bgColor indexed="64"/>
      </patternFill>
    </fill>
    <fill>
      <patternFill patternType="solid">
        <fgColor indexed="55"/>
        <bgColor indexed="64"/>
      </patternFill>
    </fill>
    <fill>
      <patternFill patternType="solid">
        <fgColor rgb="FF28235A"/>
        <bgColor indexed="64"/>
      </patternFill>
    </fill>
    <fill>
      <patternFill patternType="solid">
        <fgColor indexed="57"/>
        <bgColor indexed="64"/>
      </patternFill>
    </fill>
    <fill>
      <patternFill patternType="solid">
        <fgColor theme="0"/>
        <bgColor indexed="64"/>
      </patternFill>
    </fill>
    <fill>
      <patternFill patternType="solid">
        <fgColor rgb="FFD5C03D"/>
        <bgColor indexed="64"/>
      </patternFill>
    </fill>
    <fill>
      <patternFill patternType="solid">
        <fgColor rgb="FF49452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rgb="FFFF0000"/>
        <bgColor indexed="64"/>
      </patternFill>
    </fill>
    <fill>
      <patternFill patternType="solid">
        <fgColor rgb="FFFF0000"/>
        <bgColor indexed="64"/>
      </patternFill>
    </fill>
    <fill>
      <patternFill patternType="solid">
        <fgColor rgb="FFFF0000"/>
        <bgColor indexed="64"/>
      </patternFill>
    </fill>
    <fill>
      <patternFill patternType="solid">
        <fgColor rgb="FFFFC000"/>
        <bgColor indexed="64"/>
      </patternFill>
    </fill>
    <fill>
      <patternFill patternType="solid">
        <fgColor rgb="FFFFC000"/>
        <bgColor indexed="64"/>
      </patternFill>
    </fill>
    <fill>
      <patternFill patternType="solid">
        <fgColor theme="3" tint="0.39998000860214233"/>
        <bgColor indexed="64"/>
      </patternFill>
    </fill>
    <fill>
      <patternFill patternType="solid">
        <fgColor rgb="FFFFC000"/>
        <bgColor indexed="64"/>
      </patternFill>
    </fill>
    <fill>
      <patternFill patternType="solid">
        <fgColor theme="4"/>
        <bgColor indexed="64"/>
      </patternFill>
    </fill>
    <fill>
      <patternFill patternType="solid">
        <fgColor theme="3" tint="0.39998000860214233"/>
        <bgColor indexed="64"/>
      </patternFill>
    </fill>
    <fill>
      <patternFill patternType="solid">
        <fgColor theme="3" tint="0.39998000860214233"/>
        <bgColor indexed="64"/>
      </patternFill>
    </fill>
    <fill>
      <patternFill patternType="solid">
        <fgColor indexed="47"/>
        <bgColor indexed="64"/>
      </patternFill>
    </fill>
    <fill>
      <patternFill patternType="solid">
        <fgColor rgb="FFD5C03D"/>
        <bgColor indexed="64"/>
      </patternFill>
    </fill>
    <fill>
      <patternFill patternType="solid">
        <fgColor theme="0" tint="-0.24997000396251678"/>
        <bgColor indexed="64"/>
      </patternFill>
    </fill>
  </fills>
  <borders count="157">
    <border>
      <left/>
      <right/>
      <top/>
      <bottom/>
      <diagonal/>
    </border>
    <border>
      <left style="medium"/>
      <right style="medium"/>
      <top style="medium"/>
      <bottom style="medium"/>
    </border>
    <border>
      <left/>
      <right/>
      <top style="medium"/>
      <bottom/>
    </border>
    <border>
      <left/>
      <right style="hair">
        <color theme="4" tint="-0.4999699890613556"/>
      </right>
      <top style="medium"/>
      <bottom/>
    </border>
    <border>
      <left style="hair">
        <color theme="4" tint="-0.4999699890613556"/>
      </left>
      <right style="hair">
        <color theme="4" tint="-0.4999699890613556"/>
      </right>
      <top style="medium"/>
      <bottom/>
    </border>
    <border>
      <left style="hair">
        <color theme="4" tint="-0.4999699890613556"/>
      </left>
      <right style="medium"/>
      <top style="medium"/>
      <bottom/>
    </border>
    <border>
      <left style="medium"/>
      <right style="medium"/>
      <top style="medium"/>
      <bottom/>
    </border>
    <border>
      <left/>
      <right style="hair"/>
      <top style="medium"/>
      <bottom/>
    </border>
    <border>
      <left style="medium"/>
      <right/>
      <top style="medium"/>
      <bottom style="medium"/>
    </border>
    <border>
      <left/>
      <right style="hair"/>
      <top style="medium"/>
      <bottom style="medium"/>
    </border>
    <border>
      <left/>
      <right style="hair">
        <color theme="4" tint="-0.4999699890613556"/>
      </right>
      <top style="medium"/>
      <bottom style="medium"/>
    </border>
    <border>
      <left style="hair">
        <color theme="4" tint="-0.4999699890613556"/>
      </left>
      <right style="hair">
        <color theme="4" tint="-0.4999699890613556"/>
      </right>
      <top style="medium"/>
      <bottom style="medium"/>
    </border>
    <border>
      <left style="medium"/>
      <right style="medium"/>
      <top/>
      <bottom style="medium"/>
    </border>
    <border>
      <left/>
      <right style="hair">
        <color theme="4" tint="-0.4999699890613556"/>
      </right>
      <top/>
      <bottom style="medium"/>
    </border>
    <border>
      <left style="hair">
        <color theme="4" tint="-0.4999699890613556"/>
      </left>
      <right style="hair">
        <color theme="4" tint="-0.4999699890613556"/>
      </right>
      <top/>
      <bottom style="medium"/>
    </border>
    <border>
      <left/>
      <right/>
      <top/>
      <bottom style="medium"/>
    </border>
    <border>
      <left/>
      <right style="hair"/>
      <top/>
      <bottom style="medium"/>
    </border>
    <border>
      <left style="hair">
        <color theme="4" tint="-0.4999699890613556"/>
      </left>
      <right/>
      <top style="medium"/>
      <bottom/>
    </border>
    <border>
      <left style="hair"/>
      <right style="hair">
        <color theme="4" tint="-0.4999699890613556"/>
      </right>
      <top style="medium"/>
      <bottom/>
    </border>
    <border>
      <left/>
      <right style="medium"/>
      <top style="medium"/>
      <bottom style="medium"/>
    </border>
    <border>
      <left/>
      <right/>
      <top style="medium"/>
      <bottom style="medium"/>
    </border>
    <border>
      <left style="hair">
        <color theme="4" tint="-0.4999699890613556"/>
      </left>
      <right style="medium"/>
      <top style="medium"/>
      <bottom style="medium"/>
    </border>
    <border>
      <left style="hair">
        <color theme="4" tint="-0.4999699890613556"/>
      </left>
      <right style="hair"/>
      <top style="medium"/>
      <bottom style="medium"/>
    </border>
    <border>
      <left style="medium"/>
      <right style="medium"/>
      <top/>
      <bottom/>
    </border>
    <border>
      <left style="hair">
        <color theme="4" tint="-0.4999699890613556"/>
      </left>
      <right style="hair"/>
      <top style="medium"/>
      <bottom/>
    </border>
    <border>
      <left style="medium"/>
      <right style="hair">
        <color theme="4" tint="-0.4999699890613556"/>
      </right>
      <top style="medium"/>
      <bottom style="medium"/>
    </border>
    <border>
      <left style="hair"/>
      <right style="hair"/>
      <top style="medium"/>
      <bottom/>
    </border>
    <border>
      <left style="hair">
        <color theme="4" tint="-0.4999699890613556"/>
      </left>
      <right style="medium"/>
      <top/>
      <bottom style="medium"/>
    </border>
    <border>
      <left style="hair"/>
      <right style="hair"/>
      <top style="medium"/>
      <bottom style="medium"/>
    </border>
    <border>
      <left style="hair"/>
      <right style="hair">
        <color theme="4" tint="-0.4999699890613556"/>
      </right>
      <top/>
      <bottom style="medium"/>
    </border>
    <border>
      <left style="hair"/>
      <right style="hair"/>
      <top/>
      <bottom style="medium"/>
    </border>
    <border>
      <left style="medium"/>
      <right/>
      <top/>
      <bottom style="medium"/>
    </border>
    <border>
      <left style="medium"/>
      <right/>
      <top style="medium"/>
      <bottom/>
    </border>
    <border>
      <left style="medium"/>
      <right style="hair">
        <color theme="4" tint="-0.4999699890613556"/>
      </right>
      <top style="medium"/>
      <bottom/>
    </border>
    <border>
      <left style="medium"/>
      <right style="hair"/>
      <top style="medium"/>
      <bottom/>
    </border>
    <border>
      <left/>
      <right style="medium"/>
      <top/>
      <bottom style="medium"/>
    </border>
    <border>
      <left style="hair">
        <color theme="4" tint="-0.4999699890613556"/>
      </left>
      <right style="hair">
        <color theme="4" tint="-0.4999699890613556"/>
      </right>
      <top/>
      <bottom/>
    </border>
    <border>
      <left style="hair">
        <color theme="4" tint="-0.4999699890613556"/>
      </left>
      <right style="medium"/>
      <top/>
      <bottom/>
    </border>
    <border>
      <left style="hair">
        <color theme="4" tint="-0.4999699890613556"/>
      </left>
      <right style="hair"/>
      <top/>
      <bottom style="medium"/>
    </border>
    <border>
      <left style="hair">
        <color theme="4" tint="-0.4999699890613556"/>
      </left>
      <right/>
      <top style="medium"/>
      <bottom style="medium"/>
    </border>
    <border>
      <left style="hair"/>
      <right style="hair">
        <color theme="4" tint="-0.4999699890613556"/>
      </right>
      <top style="medium"/>
      <bottom style="medium"/>
    </border>
    <border>
      <left style="hair">
        <color theme="4" tint="-0.4999699890613556"/>
      </left>
      <right/>
      <top/>
      <bottom/>
    </border>
    <border>
      <left style="hair"/>
      <right style="hair">
        <color theme="4" tint="-0.4999699890613556"/>
      </right>
      <top/>
      <bottom/>
    </border>
    <border>
      <left style="medium"/>
      <right style="hair"/>
      <top/>
      <bottom style="medium"/>
    </border>
    <border>
      <left/>
      <right style="hair"/>
      <top/>
      <bottom/>
    </border>
    <border>
      <left/>
      <right style="hair">
        <color theme="4" tint="-0.4999699890613556"/>
      </right>
      <top/>
      <bottom/>
    </border>
    <border>
      <left style="medium"/>
      <right style="hair"/>
      <top style="medium"/>
      <bottom style="medium"/>
    </border>
    <border>
      <left/>
      <right style="hair"/>
      <top style="hair"/>
      <bottom style="medium"/>
    </border>
    <border>
      <left/>
      <right style="hair"/>
      <top style="hair">
        <color theme="4" tint="-0.4999699890613556"/>
      </top>
      <bottom/>
    </border>
    <border>
      <left/>
      <right style="hair">
        <color theme="4" tint="-0.4999699890613556"/>
      </right>
      <top style="hair">
        <color theme="4" tint="-0.4999699890613556"/>
      </top>
      <bottom/>
    </border>
    <border>
      <left style="hair">
        <color theme="4" tint="-0.4999699890613556"/>
      </left>
      <right style="hair">
        <color theme="4" tint="-0.4999699890613556"/>
      </right>
      <top style="hair">
        <color theme="4" tint="-0.4999699890613556"/>
      </top>
      <bottom/>
    </border>
    <border>
      <left style="hair"/>
      <right/>
      <top style="medium"/>
      <bottom style="medium"/>
    </border>
    <border>
      <left style="hair">
        <color theme="4" tint="-0.4999699890613556"/>
      </left>
      <right/>
      <top/>
      <bottom style="medium"/>
    </border>
    <border>
      <left style="hair"/>
      <right style="hair"/>
      <top/>
      <bottom/>
    </border>
    <border>
      <left/>
      <right style="medium"/>
      <top/>
      <bottom/>
    </border>
    <border>
      <left/>
      <right style="medium"/>
      <top style="medium"/>
      <bottom/>
    </border>
    <border>
      <left/>
      <right style="medium"/>
      <top style="hair"/>
      <bottom style="medium"/>
    </border>
    <border>
      <left/>
      <right style="hair">
        <color theme="4" tint="-0.4999699890613556"/>
      </right>
      <top style="hair"/>
      <bottom style="medium"/>
    </border>
    <border>
      <left style="hair">
        <color theme="4" tint="-0.4999699890613556"/>
      </left>
      <right style="hair"/>
      <top style="hair"/>
      <bottom style="medium"/>
    </border>
    <border>
      <left style="hair">
        <color theme="4" tint="-0.4999699890613556"/>
      </left>
      <right style="hair">
        <color theme="4" tint="-0.4999699890613556"/>
      </right>
      <top style="hair"/>
      <bottom style="medium"/>
    </border>
    <border>
      <left style="hair">
        <color theme="4" tint="-0.4999699890613556"/>
      </left>
      <right style="hair">
        <color theme="4" tint="-0.4999699890613556"/>
      </right>
      <top style="hair">
        <color theme="4" tint="-0.4999699890613556"/>
      </top>
      <bottom style="medium"/>
    </border>
    <border>
      <left style="hair">
        <color theme="4" tint="-0.4999699890613556"/>
      </left>
      <right style="hair"/>
      <top/>
      <bottom/>
    </border>
    <border>
      <left style="medium"/>
      <right/>
      <top/>
      <bottom/>
    </border>
    <border>
      <left style="thin"/>
      <right style="thin"/>
      <top style="thin"/>
      <bottom style="thin"/>
    </border>
    <border>
      <left style="thin"/>
      <right style="medium"/>
      <top style="thin"/>
      <bottom style="thin"/>
    </border>
    <border>
      <left/>
      <right style="thin"/>
      <top style="thin"/>
      <bottom style="thin"/>
    </border>
    <border>
      <left style="medium">
        <color indexed="8"/>
      </left>
      <right style="medium">
        <color indexed="8"/>
      </right>
      <top style="medium">
        <color indexed="8"/>
      </top>
      <bottom style="medium">
        <color indexed="8"/>
      </bottom>
    </border>
    <border>
      <left style="hair">
        <color theme="4" tint="-0.4999699890613556"/>
      </left>
      <right style="medium"/>
      <top style="hair">
        <color theme="4" tint="-0.4999699890613556"/>
      </top>
      <bottom/>
    </border>
    <border>
      <left style="medium">
        <color indexed="8"/>
      </left>
      <right style="medium">
        <color indexed="8"/>
      </right>
      <top style="medium">
        <color indexed="8"/>
      </top>
      <bottom/>
    </border>
    <border>
      <left/>
      <right style="hair">
        <color indexed="8"/>
      </right>
      <top style="medium">
        <color indexed="8"/>
      </top>
      <bottom style="medium">
        <color indexed="8"/>
      </bottom>
    </border>
    <border>
      <left/>
      <right style="hair">
        <color indexed="62"/>
      </right>
      <top style="medium">
        <color indexed="8"/>
      </top>
      <bottom style="medium">
        <color indexed="8"/>
      </bottom>
    </border>
    <border>
      <left style="hair">
        <color indexed="62"/>
      </left>
      <right style="hair">
        <color indexed="62"/>
      </right>
      <top style="medium">
        <color indexed="8"/>
      </top>
      <bottom style="medium">
        <color indexed="8"/>
      </bottom>
    </border>
    <border>
      <left style="hair">
        <color indexed="62"/>
      </left>
      <right style="medium">
        <color indexed="8"/>
      </right>
      <top style="medium">
        <color indexed="8"/>
      </top>
      <bottom style="medium">
        <color indexed="8"/>
      </bottom>
    </border>
    <border>
      <left/>
      <right style="hair">
        <color indexed="8"/>
      </right>
      <top style="medium">
        <color indexed="8"/>
      </top>
      <bottom/>
    </border>
    <border>
      <left style="hair">
        <color indexed="8"/>
      </left>
      <right style="hair">
        <color indexed="8"/>
      </right>
      <top style="medium">
        <color indexed="8"/>
      </top>
      <bottom/>
    </border>
    <border>
      <left style="hair">
        <color indexed="8"/>
      </left>
      <right style="hair">
        <color indexed="62"/>
      </right>
      <top style="medium">
        <color indexed="8"/>
      </top>
      <bottom/>
    </border>
    <border>
      <left style="hair">
        <color indexed="62"/>
      </left>
      <right style="hair">
        <color indexed="62"/>
      </right>
      <top style="medium">
        <color indexed="8"/>
      </top>
      <bottom/>
    </border>
    <border>
      <left style="hair">
        <color indexed="62"/>
      </left>
      <right style="hair">
        <color indexed="8"/>
      </right>
      <top style="medium">
        <color indexed="8"/>
      </top>
      <bottom style="medium">
        <color indexed="8"/>
      </bottom>
    </border>
    <border>
      <left/>
      <right style="medium">
        <color indexed="8"/>
      </right>
      <top/>
      <bottom/>
    </border>
    <border>
      <left/>
      <right style="hair">
        <color indexed="62"/>
      </right>
      <top style="medium">
        <color indexed="8"/>
      </top>
      <bottom/>
    </border>
    <border>
      <left style="hair">
        <color indexed="62"/>
      </left>
      <right style="hair">
        <color indexed="8"/>
      </right>
      <top style="medium">
        <color indexed="8"/>
      </top>
      <bottom/>
    </border>
    <border>
      <left/>
      <right style="medium">
        <color indexed="8"/>
      </right>
      <top style="medium">
        <color indexed="8"/>
      </top>
      <bottom style="medium">
        <color indexed="8"/>
      </bottom>
    </border>
    <border>
      <left style="medium">
        <color indexed="8"/>
      </left>
      <right style="hair">
        <color indexed="62"/>
      </right>
      <top style="medium">
        <color indexed="8"/>
      </top>
      <bottom style="medium">
        <color indexed="8"/>
      </bottom>
    </border>
    <border>
      <left/>
      <right/>
      <top/>
      <bottom style="medium">
        <color indexed="8"/>
      </bottom>
    </border>
    <border>
      <left style="medium">
        <color indexed="8"/>
      </left>
      <right/>
      <top/>
      <bottom style="medium">
        <color indexed="8"/>
      </bottom>
    </border>
    <border>
      <left/>
      <right/>
      <top style="medium">
        <color indexed="8"/>
      </top>
      <bottom style="medium">
        <color indexed="8"/>
      </bottom>
    </border>
    <border>
      <left style="medium">
        <color indexed="8"/>
      </left>
      <right style="medium">
        <color indexed="8"/>
      </right>
      <top/>
      <bottom/>
    </border>
    <border>
      <left style="hair">
        <color indexed="8"/>
      </left>
      <right style="hair">
        <color indexed="8"/>
      </right>
      <top style="medium">
        <color indexed="8"/>
      </top>
      <bottom style="medium">
        <color indexed="8"/>
      </bottom>
    </border>
    <border>
      <left style="hair">
        <color indexed="8"/>
      </left>
      <right/>
      <top style="medium">
        <color indexed="8"/>
      </top>
      <bottom style="medium">
        <color indexed="8"/>
      </bottom>
    </border>
    <border>
      <left/>
      <right style="hair">
        <color indexed="8"/>
      </right>
      <top/>
      <bottom style="medium">
        <color indexed="8"/>
      </bottom>
    </border>
    <border>
      <left/>
      <right/>
      <top style="medium">
        <color indexed="8"/>
      </top>
      <bottom/>
    </border>
    <border>
      <left style="hair">
        <color indexed="8"/>
      </left>
      <right/>
      <top style="medium">
        <color indexed="8"/>
      </top>
      <bottom/>
    </border>
    <border>
      <left style="hair">
        <color indexed="62"/>
      </left>
      <right style="hair">
        <color indexed="62"/>
      </right>
      <top/>
      <bottom style="medium">
        <color indexed="8"/>
      </bottom>
    </border>
    <border>
      <left/>
      <right style="hair">
        <color indexed="62"/>
      </right>
      <top/>
      <bottom style="medium">
        <color indexed="8"/>
      </bottom>
    </border>
    <border>
      <left style="medium">
        <color indexed="8"/>
      </left>
      <right style="medium">
        <color indexed="8"/>
      </right>
      <top/>
      <bottom style="medium">
        <color indexed="8"/>
      </bottom>
    </border>
    <border>
      <left style="hair">
        <color indexed="62"/>
      </left>
      <right/>
      <top style="medium">
        <color indexed="8"/>
      </top>
      <bottom style="medium">
        <color indexed="8"/>
      </bottom>
    </border>
    <border>
      <left style="hair">
        <color indexed="62"/>
      </left>
      <right style="medium">
        <color indexed="8"/>
      </right>
      <top/>
      <bottom style="medium">
        <color indexed="8"/>
      </bottom>
    </border>
    <border>
      <left style="hair">
        <color indexed="62"/>
      </left>
      <right style="hair">
        <color indexed="62"/>
      </right>
      <top/>
      <bottom/>
    </border>
    <border>
      <left style="hair">
        <color indexed="62"/>
      </left>
      <right style="medium">
        <color indexed="8"/>
      </right>
      <top style="medium">
        <color indexed="8"/>
      </top>
      <bottom style="medium"/>
    </border>
    <border>
      <left style="hair">
        <color indexed="62"/>
      </left>
      <right/>
      <top/>
      <bottom style="medium"/>
    </border>
    <border>
      <left style="hair">
        <color indexed="62"/>
      </left>
      <right style="hair">
        <color indexed="62"/>
      </right>
      <top/>
      <bottom style="medium"/>
    </border>
    <border>
      <left style="hair">
        <color indexed="62"/>
      </left>
      <right style="hair">
        <color indexed="62"/>
      </right>
      <top style="medium">
        <color indexed="8"/>
      </top>
      <bottom style="medium"/>
    </border>
    <border>
      <left style="hair">
        <color indexed="8"/>
      </left>
      <right style="hair">
        <color indexed="62"/>
      </right>
      <top/>
      <bottom style="medium">
        <color indexed="8"/>
      </bottom>
    </border>
    <border>
      <left style="hair">
        <color indexed="62"/>
      </left>
      <right/>
      <top/>
      <bottom style="medium">
        <color indexed="8"/>
      </bottom>
    </border>
    <border>
      <left style="hair">
        <color indexed="62"/>
      </left>
      <right/>
      <top style="medium">
        <color indexed="8"/>
      </top>
      <bottom/>
    </border>
    <border>
      <left style="hair">
        <color indexed="8"/>
      </left>
      <right style="hair">
        <color indexed="62"/>
      </right>
      <top style="medium">
        <color indexed="8"/>
      </top>
      <bottom style="medium">
        <color indexed="8"/>
      </bottom>
    </border>
    <border>
      <left style="hair">
        <color indexed="62"/>
      </left>
      <right style="hair">
        <color indexed="8"/>
      </right>
      <top/>
      <bottom style="medium">
        <color indexed="8"/>
      </bottom>
    </border>
    <border>
      <left/>
      <right style="medium">
        <color indexed="8"/>
      </right>
      <top/>
      <bottom style="medium">
        <color indexed="8"/>
      </bottom>
    </border>
    <border>
      <left/>
      <right style="hair">
        <color indexed="62"/>
      </right>
      <top/>
      <bottom style="medium"/>
    </border>
    <border>
      <left style="hair">
        <color indexed="62"/>
      </left>
      <right style="hair">
        <color indexed="8"/>
      </right>
      <top/>
      <bottom style="medium"/>
    </border>
    <border>
      <left/>
      <right style="hair">
        <color indexed="62"/>
      </right>
      <top style="medium">
        <color indexed="8"/>
      </top>
      <bottom style="medium"/>
    </border>
    <border>
      <left style="hair">
        <color indexed="62"/>
      </left>
      <right style="hair">
        <color indexed="8"/>
      </right>
      <top style="medium">
        <color indexed="8"/>
      </top>
      <bottom style="medium"/>
    </border>
    <border>
      <left style="medium"/>
      <right style="hair">
        <color indexed="62"/>
      </right>
      <top style="medium">
        <color indexed="8"/>
      </top>
      <bottom style="medium"/>
    </border>
    <border>
      <left/>
      <right style="medium">
        <color indexed="8"/>
      </right>
      <top style="hair">
        <color indexed="8"/>
      </top>
      <bottom style="medium">
        <color indexed="8"/>
      </bottom>
    </border>
    <border>
      <left style="medium">
        <color indexed="8"/>
      </left>
      <right style="hair">
        <color indexed="62"/>
      </right>
      <top style="medium">
        <color indexed="8"/>
      </top>
      <bottom/>
    </border>
    <border>
      <left/>
      <right style="medium">
        <color indexed="8"/>
      </right>
      <top style="medium">
        <color indexed="8"/>
      </top>
      <bottom/>
    </border>
    <border>
      <left style="medium">
        <color indexed="8"/>
      </left>
      <right/>
      <top style="medium">
        <color indexed="8"/>
      </top>
      <bottom style="medium">
        <color indexed="8"/>
      </bottom>
    </border>
    <border>
      <left style="hair">
        <color indexed="62"/>
      </left>
      <right style="medium">
        <color indexed="8"/>
      </right>
      <top style="medium">
        <color indexed="8"/>
      </top>
      <bottom/>
    </border>
    <border>
      <left style="medium">
        <color indexed="8"/>
      </left>
      <right style="medium">
        <color indexed="8"/>
      </right>
      <top style="medium">
        <color indexed="8"/>
      </top>
      <bottom style="thin"/>
    </border>
    <border>
      <left/>
      <right style="medium">
        <color indexed="8"/>
      </right>
      <top style="hair">
        <color indexed="8"/>
      </top>
      <bottom/>
    </border>
    <border>
      <left style="medium"/>
      <right style="medium">
        <color indexed="8"/>
      </right>
      <top style="medium">
        <color indexed="8"/>
      </top>
      <bottom style="medium"/>
    </border>
    <border>
      <left style="medium"/>
      <right style="thin"/>
      <top style="medium">
        <color indexed="8"/>
      </top>
      <bottom style="medium"/>
    </border>
    <border>
      <left style="thick"/>
      <right style="hair"/>
      <top/>
      <bottom style="medium"/>
    </border>
    <border>
      <left style="thin"/>
      <right/>
      <top style="thin"/>
      <bottom style="thin"/>
    </border>
    <border>
      <left style="thin"/>
      <right style="thin"/>
      <top style="medium"/>
      <bottom style="medium"/>
    </border>
    <border>
      <left style="medium"/>
      <right style="thin"/>
      <top style="medium"/>
      <bottom/>
    </border>
    <border>
      <left style="thin"/>
      <right style="thin"/>
      <top style="medium"/>
      <bottom/>
    </border>
    <border>
      <left style="medium"/>
      <right style="thin"/>
      <top style="medium"/>
      <bottom style="medium"/>
    </border>
    <border>
      <left style="thin"/>
      <right style="medium"/>
      <top style="medium"/>
      <bottom style="medium"/>
    </border>
    <border>
      <left style="thin"/>
      <right style="medium"/>
      <top style="medium"/>
      <bottom/>
    </border>
    <border>
      <left style="thin"/>
      <right style="thin"/>
      <top style="thin"/>
      <bottom/>
    </border>
    <border>
      <left style="thin"/>
      <right style="thin"/>
      <top/>
      <bottom style="thin"/>
    </border>
    <border>
      <left style="thin"/>
      <right style="thin"/>
      <top/>
      <botto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right style="thin"/>
      <top/>
      <bottom style="thin"/>
    </border>
    <border>
      <left style="medium">
        <color indexed="8"/>
      </left>
      <right/>
      <top style="medium">
        <color indexed="8"/>
      </top>
      <bottom/>
    </border>
    <border>
      <left/>
      <right/>
      <top style="thin"/>
      <bottom style="thin"/>
    </border>
    <border>
      <left style="medium">
        <color indexed="8"/>
      </left>
      <right style="medium">
        <color indexed="8"/>
      </right>
      <top style="thin"/>
      <bottom/>
    </border>
    <border>
      <left style="medium">
        <color indexed="8"/>
      </left>
      <right style="medium"/>
      <top style="medium">
        <color indexed="8"/>
      </top>
      <bottom style="medium">
        <color indexed="8"/>
      </bottom>
    </border>
    <border>
      <left style="medium">
        <color indexed="8"/>
      </left>
      <right/>
      <top/>
      <bottom/>
    </border>
    <border>
      <left style="medium">
        <color indexed="8"/>
      </left>
      <right style="medium">
        <color indexed="8"/>
      </right>
      <top style="medium">
        <color indexed="8"/>
      </top>
      <bottom style="hair">
        <color indexed="8"/>
      </bottom>
    </border>
    <border>
      <left/>
      <right/>
      <top/>
      <bottom style="hair">
        <color indexed="8"/>
      </bottom>
    </border>
    <border>
      <left style="medium"/>
      <right/>
      <top style="medium"/>
      <bottom style="hair">
        <color theme="4" tint="-0.4999699890613556"/>
      </bottom>
    </border>
    <border>
      <left style="medium"/>
      <right style="medium"/>
      <top/>
      <bottom style="thin"/>
    </border>
    <border>
      <left style="medium"/>
      <right style="medium"/>
      <top style="thin"/>
      <bottom/>
    </border>
    <border>
      <left style="medium"/>
      <right style="medium"/>
      <top style="medium"/>
      <bottom style="hair">
        <color theme="4" tint="-0.4999699890613556"/>
      </bottom>
    </border>
    <border>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40" fillId="0" borderId="0">
      <alignment/>
      <protection/>
    </xf>
    <xf numFmtId="0" fontId="1" fillId="0" borderId="0">
      <alignment/>
      <protection/>
    </xf>
    <xf numFmtId="170" fontId="40" fillId="0" borderId="0">
      <alignment/>
      <protection/>
    </xf>
    <xf numFmtId="9" fontId="40" fillId="0" borderId="0">
      <alignment/>
      <protection/>
    </xf>
    <xf numFmtId="170" fontId="40" fillId="0" borderId="0">
      <alignment/>
      <protection/>
    </xf>
    <xf numFmtId="172" fontId="40" fillId="0" borderId="0">
      <alignment/>
      <protection/>
    </xf>
  </cellStyleXfs>
  <cellXfs count="2934">
    <xf numFmtId="0" fontId="0" fillId="0" borderId="0" xfId="0"/>
    <xf numFmtId="0" fontId="3"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1" fontId="6" fillId="0" borderId="0" xfId="20" applyNumberFormat="1" applyFont="1" applyAlignment="1">
      <alignment horizontal="center" vertical="center" wrapText="1"/>
    </xf>
    <xf numFmtId="0" fontId="10" fillId="0" borderId="0" xfId="0" applyFont="1" applyAlignment="1">
      <alignment horizontal="center" vertical="center" wrapText="1"/>
    </xf>
    <xf numFmtId="9" fontId="6" fillId="0" borderId="0" xfId="0" applyNumberFormat="1" applyFont="1" applyAlignment="1">
      <alignment horizontal="center" vertical="center" wrapText="1"/>
    </xf>
    <xf numFmtId="165"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66" fontId="6" fillId="0" borderId="0" xfId="0" applyNumberFormat="1" applyFont="1" applyAlignment="1">
      <alignment horizontal="center" vertical="center" wrapText="1"/>
    </xf>
    <xf numFmtId="0" fontId="2" fillId="0" borderId="0" xfId="0" applyFont="1"/>
    <xf numFmtId="0" fontId="3" fillId="0" borderId="0" xfId="0" applyFont="1"/>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1" fontId="6" fillId="0" borderId="0" xfId="20" applyNumberFormat="1" applyFont="1" applyBorder="1" applyAlignment="1">
      <alignment horizontal="center" vertical="center" wrapText="1"/>
    </xf>
    <xf numFmtId="0" fontId="10" fillId="0" borderId="0" xfId="0" applyFont="1" applyBorder="1" applyAlignment="1">
      <alignment horizontal="center" vertical="center" wrapText="1"/>
    </xf>
    <xf numFmtId="9" fontId="6" fillId="0" borderId="0" xfId="0"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3" fillId="2" borderId="1" xfId="23" applyFont="1" applyFill="1" applyBorder="1" applyAlignment="1" applyProtection="1">
      <alignment horizontal="center" vertical="center" wrapText="1"/>
      <protection hidden="1"/>
    </xf>
    <xf numFmtId="0" fontId="13" fillId="2" borderId="2" xfId="23" applyFont="1" applyFill="1" applyBorder="1" applyAlignment="1" applyProtection="1">
      <alignment horizontal="center" vertical="center" wrapText="1"/>
      <protection hidden="1"/>
    </xf>
    <xf numFmtId="0" fontId="13" fillId="2" borderId="3" xfId="23" applyFont="1" applyFill="1" applyBorder="1" applyAlignment="1" applyProtection="1">
      <alignment horizontal="center" vertical="center" wrapText="1"/>
      <protection hidden="1"/>
    </xf>
    <xf numFmtId="1" fontId="13" fillId="2" borderId="4" xfId="20" applyNumberFormat="1" applyFont="1" applyFill="1" applyBorder="1" applyAlignment="1" applyProtection="1">
      <alignment horizontal="center" vertical="center" wrapText="1"/>
      <protection hidden="1"/>
    </xf>
    <xf numFmtId="0" fontId="13" fillId="2" borderId="4" xfId="23" applyFont="1" applyFill="1" applyBorder="1" applyAlignment="1" applyProtection="1">
      <alignment horizontal="center" vertical="center" wrapText="1"/>
      <protection hidden="1"/>
    </xf>
    <xf numFmtId="9" fontId="13" fillId="2" borderId="4" xfId="23" applyNumberFormat="1" applyFont="1" applyFill="1" applyBorder="1" applyAlignment="1" applyProtection="1">
      <alignment horizontal="center" vertical="center" wrapText="1"/>
      <protection hidden="1"/>
    </xf>
    <xf numFmtId="0" fontId="13" fillId="2" borderId="4" xfId="23" applyFont="1" applyFill="1" applyBorder="1" applyAlignment="1" applyProtection="1">
      <alignment horizontal="center" vertical="center" textRotation="90" wrapText="1"/>
      <protection hidden="1"/>
    </xf>
    <xf numFmtId="1" fontId="13" fillId="2" borderId="4" xfId="23" applyNumberFormat="1" applyFont="1" applyFill="1" applyBorder="1" applyAlignment="1" applyProtection="1">
      <alignment horizontal="center" vertical="center" wrapText="1"/>
      <protection hidden="1"/>
    </xf>
    <xf numFmtId="166" fontId="13" fillId="2" borderId="4" xfId="23" applyNumberFormat="1" applyFont="1" applyFill="1" applyBorder="1" applyAlignment="1" applyProtection="1">
      <alignment horizontal="center" vertical="center" wrapText="1"/>
      <protection hidden="1"/>
    </xf>
    <xf numFmtId="0" fontId="13" fillId="2" borderId="5" xfId="23" applyFont="1" applyFill="1" applyBorder="1" applyAlignment="1" applyProtection="1">
      <alignment horizontal="center" vertical="center" wrapText="1"/>
      <protection hidden="1"/>
    </xf>
    <xf numFmtId="0" fontId="14" fillId="3" borderId="1" xfId="23" applyFont="1" applyFill="1" applyBorder="1" applyAlignment="1" applyProtection="1">
      <alignment horizontal="center" vertical="center" wrapText="1"/>
      <protection hidden="1"/>
    </xf>
    <xf numFmtId="0" fontId="14" fillId="4" borderId="1" xfId="23" applyFont="1" applyFill="1" applyBorder="1" applyAlignment="1" applyProtection="1">
      <alignment horizontal="center" vertical="center" wrapText="1"/>
      <protection hidden="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8" fillId="5" borderId="6" xfId="23" applyFont="1" applyFill="1" applyBorder="1" applyAlignment="1" applyProtection="1">
      <alignment horizontal="center" vertical="center" wrapText="1"/>
      <protection hidden="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0" fontId="1" fillId="0" borderId="4" xfId="22" applyNumberFormat="1" applyFont="1" applyBorder="1" applyAlignment="1">
      <alignment horizontal="center" vertical="center" wrapText="1"/>
    </xf>
    <xf numFmtId="0" fontId="19" fillId="0" borderId="4" xfId="0" applyFont="1" applyBorder="1" applyAlignment="1">
      <alignment horizontal="center" vertical="center" wrapText="1"/>
    </xf>
    <xf numFmtId="14" fontId="1" fillId="6" borderId="4" xfId="24" applyNumberFormat="1" applyFont="1" applyFill="1" applyBorder="1" applyAlignment="1">
      <alignment horizontal="center" vertical="center" wrapText="1"/>
    </xf>
    <xf numFmtId="0" fontId="1" fillId="5" borderId="4" xfId="23" applyFont="1" applyFill="1" applyBorder="1" applyAlignment="1" applyProtection="1">
      <alignment horizontal="center" vertical="center" wrapText="1"/>
      <protection hidden="1"/>
    </xf>
    <xf numFmtId="1" fontId="1" fillId="6" borderId="4" xfId="23" applyNumberFormat="1" applyFont="1" applyFill="1" applyBorder="1" applyAlignment="1" applyProtection="1">
      <alignment horizontal="center" vertical="center" wrapText="1"/>
      <protection hidden="1"/>
    </xf>
    <xf numFmtId="166" fontId="1" fillId="6" borderId="4" xfId="23" applyNumberFormat="1" applyFont="1" applyFill="1" applyBorder="1" applyAlignment="1" applyProtection="1">
      <alignment horizontal="center" vertical="center" wrapText="1"/>
      <protection hidden="1"/>
    </xf>
    <xf numFmtId="0" fontId="14" fillId="3" borderId="1" xfId="0"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0" fontId="21" fillId="6"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9" fillId="0" borderId="11" xfId="0" applyFont="1" applyBorder="1" applyAlignment="1">
      <alignment horizontal="center" vertical="center" wrapText="1"/>
    </xf>
    <xf numFmtId="14" fontId="1" fillId="6" borderId="11" xfId="24" applyNumberFormat="1" applyFont="1" applyFill="1" applyBorder="1" applyAlignment="1">
      <alignment horizontal="center" vertical="center" wrapText="1"/>
    </xf>
    <xf numFmtId="0" fontId="1" fillId="5" borderId="11" xfId="23" applyFont="1" applyFill="1" applyBorder="1" applyAlignment="1" applyProtection="1">
      <alignment horizontal="center" vertical="center" wrapText="1"/>
      <protection hidden="1"/>
    </xf>
    <xf numFmtId="0" fontId="1" fillId="0"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9" fillId="0" borderId="14" xfId="0" applyFont="1" applyBorder="1" applyAlignment="1">
      <alignment horizontal="center" vertical="center" wrapText="1"/>
    </xf>
    <xf numFmtId="14" fontId="1" fillId="6" borderId="14" xfId="24" applyNumberFormat="1" applyFont="1" applyFill="1" applyBorder="1" applyAlignment="1">
      <alignment horizontal="center" vertical="center" wrapText="1"/>
    </xf>
    <xf numFmtId="0" fontId="19" fillId="0" borderId="15" xfId="0" applyFont="1" applyBorder="1" applyAlignment="1">
      <alignment horizontal="center" vertical="center" wrapText="1"/>
    </xf>
    <xf numFmtId="0" fontId="1" fillId="6" borderId="16" xfId="0" applyFont="1" applyFill="1" applyBorder="1" applyAlignment="1">
      <alignment horizontal="center" vertical="center" wrapText="1"/>
    </xf>
    <xf numFmtId="0" fontId="1" fillId="6" borderId="11" xfId="23" applyFont="1" applyFill="1" applyBorder="1" applyAlignment="1" applyProtection="1">
      <alignment horizontal="center" vertical="center" wrapText="1"/>
      <protection hidden="1"/>
    </xf>
    <xf numFmtId="10" fontId="1" fillId="6" borderId="11" xfId="23" applyNumberFormat="1" applyFont="1" applyFill="1" applyBorder="1" applyAlignment="1" applyProtection="1">
      <alignment horizontal="center" vertical="center" wrapText="1"/>
      <protection hidden="1"/>
    </xf>
    <xf numFmtId="14" fontId="1" fillId="0" borderId="11" xfId="24" applyNumberFormat="1" applyFont="1" applyFill="1" applyBorder="1" applyAlignment="1">
      <alignment horizontal="center" vertical="center" wrapText="1"/>
    </xf>
    <xf numFmtId="14" fontId="1" fillId="0" borderId="4" xfId="24" applyNumberFormat="1"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17" xfId="0" applyFont="1" applyFill="1" applyBorder="1" applyAlignment="1">
      <alignment horizontal="center" vertical="center" wrapText="1"/>
    </xf>
    <xf numFmtId="1" fontId="19" fillId="5" borderId="18" xfId="22" applyNumberFormat="1" applyFont="1" applyFill="1" applyBorder="1" applyAlignment="1">
      <alignment horizontal="center" vertical="center" wrapText="1"/>
    </xf>
    <xf numFmtId="1" fontId="19" fillId="5" borderId="4" xfId="22" applyNumberFormat="1" applyFont="1" applyFill="1" applyBorder="1" applyAlignment="1">
      <alignment horizontal="center" vertical="center" wrapText="1"/>
    </xf>
    <xf numFmtId="1" fontId="19" fillId="0" borderId="4" xfId="20" applyNumberFormat="1" applyFont="1" applyBorder="1" applyAlignment="1">
      <alignment horizontal="center" vertical="center" wrapText="1"/>
    </xf>
    <xf numFmtId="166" fontId="1" fillId="6" borderId="11" xfId="23" applyNumberFormat="1" applyFont="1" applyFill="1" applyBorder="1" applyAlignment="1" applyProtection="1">
      <alignment horizontal="center" vertical="center" wrapText="1"/>
      <protection hidden="1"/>
    </xf>
    <xf numFmtId="0" fontId="19" fillId="0" borderId="19" xfId="23" applyFont="1" applyFill="1" applyBorder="1" applyAlignment="1" applyProtection="1">
      <alignment horizontal="center" vertical="center" wrapText="1"/>
      <protection hidden="1"/>
    </xf>
    <xf numFmtId="0" fontId="19" fillId="6" borderId="10" xfId="23" applyFont="1" applyFill="1" applyBorder="1" applyAlignment="1" applyProtection="1">
      <alignment horizontal="center" vertical="center" wrapText="1"/>
      <protection hidden="1"/>
    </xf>
    <xf numFmtId="0" fontId="1" fillId="6" borderId="10" xfId="23" applyFont="1" applyFill="1" applyBorder="1" applyAlignment="1" applyProtection="1">
      <alignment horizontal="center" vertical="center" wrapText="1"/>
      <protection hidden="1"/>
    </xf>
    <xf numFmtId="14" fontId="19" fillId="6" borderId="4" xfId="23" applyNumberFormat="1" applyFont="1" applyFill="1" applyBorder="1" applyAlignment="1" applyProtection="1">
      <alignment horizontal="center" vertical="center" wrapText="1"/>
      <protection hidden="1"/>
    </xf>
    <xf numFmtId="0" fontId="19" fillId="5" borderId="4" xfId="23" applyFont="1" applyFill="1" applyBorder="1" applyAlignment="1" applyProtection="1">
      <alignment horizontal="center" vertical="center" wrapText="1"/>
      <protection hidden="1"/>
    </xf>
    <xf numFmtId="3" fontId="19" fillId="5" borderId="4" xfId="0" applyNumberFormat="1" applyFont="1" applyFill="1" applyBorder="1" applyAlignment="1">
      <alignment horizontal="center" vertical="center" wrapText="1"/>
    </xf>
    <xf numFmtId="0" fontId="19" fillId="0" borderId="1" xfId="23" applyFont="1" applyFill="1" applyBorder="1" applyAlignment="1" applyProtection="1">
      <alignment horizontal="center" vertical="center" wrapText="1"/>
      <protection hidden="1"/>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22" fillId="7" borderId="20" xfId="0" applyFont="1" applyFill="1" applyBorder="1" applyAlignment="1">
      <alignment horizontal="center" vertical="center" wrapText="1"/>
    </xf>
    <xf numFmtId="9" fontId="17" fillId="7" borderId="20" xfId="22" applyFont="1" applyFill="1" applyBorder="1" applyAlignment="1">
      <alignment horizontal="center" vertical="center" wrapText="1"/>
    </xf>
    <xf numFmtId="1" fontId="17" fillId="7" borderId="20" xfId="0" applyNumberFormat="1" applyFont="1" applyFill="1" applyBorder="1" applyAlignment="1">
      <alignment horizontal="center" vertical="center" wrapText="1"/>
    </xf>
    <xf numFmtId="166" fontId="17" fillId="7" borderId="20" xfId="0" applyNumberFormat="1"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9" fontId="17" fillId="7" borderId="20" xfId="0" applyNumberFormat="1" applyFont="1" applyFill="1" applyBorder="1" applyAlignment="1">
      <alignment horizontal="center" vertical="center" wrapText="1"/>
    </xf>
    <xf numFmtId="0" fontId="1" fillId="0" borderId="1" xfId="23" applyFont="1" applyFill="1" applyBorder="1" applyAlignment="1" applyProtection="1">
      <alignment horizontal="center" vertical="center" wrapText="1"/>
      <protection hidden="1"/>
    </xf>
    <xf numFmtId="10" fontId="1" fillId="6" borderId="11" xfId="22" applyNumberFormat="1" applyFont="1" applyFill="1" applyBorder="1" applyAlignment="1" applyProtection="1">
      <alignment horizontal="center" vertical="center" wrapText="1"/>
      <protection hidden="1"/>
    </xf>
    <xf numFmtId="166" fontId="19" fillId="6" borderId="11" xfId="23" applyNumberFormat="1" applyFont="1" applyFill="1" applyBorder="1" applyAlignment="1" applyProtection="1">
      <alignment horizontal="center" vertical="center" wrapText="1"/>
      <protection hidden="1"/>
    </xf>
    <xf numFmtId="0" fontId="1" fillId="6" borderId="21" xfId="23" applyFont="1" applyFill="1" applyBorder="1" applyAlignment="1" applyProtection="1">
      <alignment horizontal="center" vertical="center" wrapText="1"/>
      <protection hidden="1"/>
    </xf>
    <xf numFmtId="0" fontId="23" fillId="3"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1" fontId="1" fillId="6" borderId="22" xfId="20" applyNumberFormat="1" applyFont="1" applyFill="1" applyBorder="1" applyAlignment="1" applyProtection="1">
      <alignment horizontal="center" vertical="center" wrapText="1"/>
      <protection hidden="1"/>
    </xf>
    <xf numFmtId="0" fontId="19" fillId="0" borderId="23" xfId="0" applyFont="1" applyFill="1" applyBorder="1" applyAlignment="1">
      <alignment horizontal="center" vertical="center" wrapText="1"/>
    </xf>
    <xf numFmtId="0" fontId="19" fillId="0" borderId="3" xfId="0" applyFont="1" applyBorder="1" applyAlignment="1">
      <alignment horizontal="center" vertical="center" wrapText="1"/>
    </xf>
    <xf numFmtId="1" fontId="1" fillId="6" borderId="24" xfId="20" applyNumberFormat="1" applyFont="1" applyFill="1" applyBorder="1" applyAlignment="1" applyProtection="1">
      <alignment horizontal="center" vertical="center" wrapText="1"/>
      <protection hidden="1"/>
    </xf>
    <xf numFmtId="9" fontId="1" fillId="0" borderId="4" xfId="22"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25" xfId="0" applyFont="1" applyBorder="1" applyAlignment="1">
      <alignment horizontal="center" vertical="center" wrapText="1"/>
    </xf>
    <xf numFmtId="1" fontId="1" fillId="6" borderId="11" xfId="23" applyNumberFormat="1" applyFont="1" applyFill="1" applyBorder="1" applyAlignment="1" applyProtection="1">
      <alignment horizontal="center" vertical="center" wrapText="1"/>
      <protection hidden="1"/>
    </xf>
    <xf numFmtId="1" fontId="1" fillId="6" borderId="7" xfId="20" applyNumberFormat="1" applyFont="1" applyFill="1" applyBorder="1" applyAlignment="1" applyProtection="1">
      <alignment horizontal="center" vertical="center" wrapText="1"/>
      <protection hidden="1"/>
    </xf>
    <xf numFmtId="0" fontId="19" fillId="0" borderId="26" xfId="0" applyFont="1" applyBorder="1" applyAlignment="1">
      <alignment horizontal="center" vertical="center" wrapText="1"/>
    </xf>
    <xf numFmtId="0" fontId="19" fillId="0" borderId="24" xfId="0" applyFont="1" applyBorder="1" applyAlignment="1">
      <alignment horizontal="center" vertical="center" wrapText="1"/>
    </xf>
    <xf numFmtId="14" fontId="1" fillId="6" borderId="3" xfId="24" applyNumberFormat="1" applyFont="1" applyFill="1" applyBorder="1" applyAlignment="1">
      <alignment horizontal="center" vertical="center" wrapText="1"/>
    </xf>
    <xf numFmtId="0" fontId="19" fillId="5" borderId="11" xfId="0" applyNumberFormat="1" applyFont="1" applyFill="1" applyBorder="1" applyAlignment="1">
      <alignment horizontal="center" vertical="center" wrapText="1"/>
    </xf>
    <xf numFmtId="1" fontId="19" fillId="5" borderId="11" xfId="22" applyNumberFormat="1" applyFont="1" applyFill="1" applyBorder="1" applyAlignment="1">
      <alignment horizontal="center" vertical="center" wrapText="1"/>
    </xf>
    <xf numFmtId="44" fontId="1" fillId="6" borderId="21" xfId="21" applyFont="1" applyFill="1" applyBorder="1" applyAlignment="1" applyProtection="1">
      <alignment horizontal="center" vertical="center" wrapText="1"/>
      <protection hidden="1"/>
    </xf>
    <xf numFmtId="14" fontId="1" fillId="0" borderId="14" xfId="24" applyNumberFormat="1" applyFont="1" applyFill="1" applyBorder="1" applyAlignment="1">
      <alignment horizontal="center" vertical="center" wrapText="1"/>
    </xf>
    <xf numFmtId="0" fontId="24" fillId="5" borderId="14" xfId="0" applyNumberFormat="1" applyFont="1" applyFill="1" applyBorder="1" applyAlignment="1">
      <alignment horizontal="center" vertical="center" wrapText="1"/>
    </xf>
    <xf numFmtId="0" fontId="1" fillId="5" borderId="14" xfId="0" applyNumberFormat="1" applyFont="1" applyFill="1" applyBorder="1" applyAlignment="1">
      <alignment horizontal="center" vertical="center" wrapText="1"/>
    </xf>
    <xf numFmtId="1" fontId="24" fillId="5" borderId="14" xfId="22" applyNumberFormat="1" applyFont="1" applyFill="1" applyBorder="1" applyAlignment="1">
      <alignment horizontal="center" vertical="center" wrapText="1"/>
    </xf>
    <xf numFmtId="1" fontId="19" fillId="0" borderId="11" xfId="20" applyNumberFormat="1" applyFont="1" applyBorder="1" applyAlignment="1">
      <alignment horizontal="center" vertical="center" wrapText="1"/>
    </xf>
    <xf numFmtId="44" fontId="1" fillId="6" borderId="27" xfId="21" applyFont="1" applyFill="1" applyBorder="1" applyAlignment="1" applyProtection="1">
      <alignment horizontal="center" vertical="center" wrapText="1"/>
      <protection hidden="1"/>
    </xf>
    <xf numFmtId="1" fontId="1" fillId="5" borderId="14" xfId="22" applyNumberFormat="1" applyFont="1" applyFill="1" applyBorder="1" applyAlignment="1">
      <alignment horizontal="center" vertical="center" wrapText="1"/>
    </xf>
    <xf numFmtId="1" fontId="1" fillId="0" borderId="11" xfId="20" applyNumberFormat="1" applyFont="1" applyBorder="1" applyAlignment="1">
      <alignment horizontal="center" vertical="center" wrapText="1"/>
    </xf>
    <xf numFmtId="0" fontId="19" fillId="5" borderId="14" xfId="0" applyNumberFormat="1" applyFont="1" applyFill="1" applyBorder="1" applyAlignment="1">
      <alignment horizontal="center" vertical="center" wrapText="1"/>
    </xf>
    <xf numFmtId="1" fontId="19" fillId="5" borderId="14" xfId="22" applyNumberFormat="1" applyFont="1" applyFill="1" applyBorder="1" applyAlignment="1">
      <alignment horizontal="center" vertical="center" wrapText="1"/>
    </xf>
    <xf numFmtId="0" fontId="1" fillId="0" borderId="19" xfId="23" applyFont="1" applyFill="1" applyBorder="1" applyAlignment="1" applyProtection="1">
      <alignment horizontal="center" vertical="center" wrapText="1"/>
      <protection hidden="1"/>
    </xf>
    <xf numFmtId="9" fontId="19" fillId="5" borderId="14" xfId="22" applyFont="1" applyFill="1" applyBorder="1" applyAlignment="1">
      <alignment horizontal="center" vertical="center" wrapText="1"/>
    </xf>
    <xf numFmtId="0" fontId="1" fillId="6" borderId="20" xfId="23" applyFont="1" applyFill="1" applyBorder="1" applyAlignment="1" applyProtection="1">
      <alignment horizontal="center" vertical="center" wrapText="1"/>
      <protection hidden="1"/>
    </xf>
    <xf numFmtId="0" fontId="14" fillId="9"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 fillId="6" borderId="16" xfId="23" applyFont="1" applyFill="1" applyBorder="1" applyAlignment="1" applyProtection="1">
      <alignment horizontal="center" vertical="center" wrapText="1"/>
      <protection hidden="1"/>
    </xf>
    <xf numFmtId="0" fontId="1" fillId="6" borderId="28" xfId="0" applyFont="1" applyFill="1" applyBorder="1" applyAlignment="1">
      <alignment horizontal="center" vertical="center" wrapText="1"/>
    </xf>
    <xf numFmtId="0" fontId="1" fillId="6" borderId="14" xfId="23" applyFont="1" applyFill="1" applyBorder="1" applyAlignment="1" applyProtection="1">
      <alignment horizontal="center" vertical="center" wrapText="1"/>
      <protection hidden="1"/>
    </xf>
    <xf numFmtId="10" fontId="1" fillId="6" borderId="16" xfId="22" applyNumberFormat="1" applyFont="1" applyFill="1" applyBorder="1" applyAlignment="1">
      <alignment horizontal="center" vertical="center" wrapText="1"/>
    </xf>
    <xf numFmtId="0" fontId="1" fillId="6" borderId="29" xfId="0" applyFont="1" applyFill="1" applyBorder="1" applyAlignment="1">
      <alignment horizontal="center" vertical="center" wrapText="1"/>
    </xf>
    <xf numFmtId="0" fontId="1" fillId="5" borderId="14" xfId="23" applyFont="1" applyFill="1" applyBorder="1" applyAlignment="1" applyProtection="1">
      <alignment horizontal="center" vertical="center" wrapText="1"/>
      <protection hidden="1"/>
    </xf>
    <xf numFmtId="3" fontId="19" fillId="5" borderId="14" xfId="0" applyNumberFormat="1" applyFont="1" applyFill="1" applyBorder="1" applyAlignment="1">
      <alignment horizontal="center" vertical="center" wrapText="1"/>
    </xf>
    <xf numFmtId="1" fontId="19" fillId="0" borderId="14" xfId="20" applyNumberFormat="1" applyFont="1" applyBorder="1" applyAlignment="1">
      <alignment horizontal="center" vertical="center" wrapText="1"/>
    </xf>
    <xf numFmtId="166" fontId="1" fillId="6" borderId="14" xfId="23" applyNumberFormat="1" applyFont="1" applyFill="1" applyBorder="1" applyAlignment="1" applyProtection="1">
      <alignment horizontal="center" vertical="center" wrapText="1"/>
      <protection hidden="1"/>
    </xf>
    <xf numFmtId="0" fontId="1" fillId="6" borderId="30" xfId="0" applyFont="1" applyFill="1" applyBorder="1" applyAlignment="1">
      <alignment horizontal="center" vertical="center" wrapText="1"/>
    </xf>
    <xf numFmtId="0" fontId="19" fillId="6" borderId="9" xfId="23" applyFont="1" applyFill="1" applyBorder="1" applyAlignment="1" applyProtection="1">
      <alignment horizontal="center" vertical="center" wrapText="1"/>
      <protection hidden="1"/>
    </xf>
    <xf numFmtId="0" fontId="19" fillId="0" borderId="16" xfId="0" applyFont="1" applyBorder="1" applyAlignment="1">
      <alignment horizontal="center" vertical="center" wrapText="1"/>
    </xf>
    <xf numFmtId="0" fontId="19" fillId="6" borderId="11" xfId="23" applyFont="1" applyFill="1" applyBorder="1" applyAlignment="1" applyProtection="1">
      <alignment horizontal="center" vertical="center" wrapText="1"/>
      <protection hidden="1"/>
    </xf>
    <xf numFmtId="14" fontId="19" fillId="6" borderId="11" xfId="23" applyNumberFormat="1" applyFont="1" applyFill="1" applyBorder="1" applyAlignment="1" applyProtection="1">
      <alignment horizontal="center" vertical="center" wrapText="1"/>
      <protection hidden="1"/>
    </xf>
    <xf numFmtId="0" fontId="19" fillId="5" borderId="11" xfId="23" applyFont="1" applyFill="1" applyBorder="1" applyAlignment="1" applyProtection="1">
      <alignment horizontal="center" vertical="center" wrapText="1"/>
      <protection hidden="1"/>
    </xf>
    <xf numFmtId="3" fontId="19" fillId="5" borderId="11" xfId="0" applyNumberFormat="1" applyFont="1" applyFill="1" applyBorder="1" applyAlignment="1">
      <alignment horizontal="center" vertical="center" wrapText="1"/>
    </xf>
    <xf numFmtId="166" fontId="19" fillId="6" borderId="21" xfId="23" applyNumberFormat="1" applyFont="1" applyFill="1" applyBorder="1" applyAlignment="1" applyProtection="1">
      <alignment horizontal="center" vertical="center" wrapText="1"/>
      <protection hidden="1"/>
    </xf>
    <xf numFmtId="167" fontId="23" fillId="3" borderId="1" xfId="0" applyNumberFormat="1" applyFont="1" applyFill="1" applyBorder="1" applyAlignment="1">
      <alignment horizontal="center" vertical="center" wrapText="1"/>
    </xf>
    <xf numFmtId="0" fontId="1" fillId="6" borderId="9" xfId="23" applyFont="1" applyFill="1" applyBorder="1" applyAlignment="1" applyProtection="1">
      <alignment horizontal="center" vertical="center" wrapText="1"/>
      <protection hidden="1"/>
    </xf>
    <xf numFmtId="1" fontId="1" fillId="0" borderId="9" xfId="22" applyNumberFormat="1" applyFont="1" applyBorder="1" applyAlignment="1">
      <alignment horizontal="center" vertical="center" wrapText="1"/>
    </xf>
    <xf numFmtId="1" fontId="1" fillId="5" borderId="11" xfId="23" applyNumberFormat="1" applyFont="1" applyFill="1" applyBorder="1" applyAlignment="1" applyProtection="1">
      <alignment horizontal="center" vertical="center" wrapText="1"/>
      <protection hidden="1"/>
    </xf>
    <xf numFmtId="0" fontId="19" fillId="0" borderId="12" xfId="23" applyFont="1" applyFill="1" applyBorder="1" applyAlignment="1" applyProtection="1">
      <alignment horizontal="center" vertical="center" wrapText="1"/>
      <protection hidden="1"/>
    </xf>
    <xf numFmtId="0" fontId="1" fillId="6" borderId="25" xfId="23" applyFont="1" applyFill="1" applyBorder="1" applyAlignment="1" applyProtection="1">
      <alignment horizontal="center" vertical="center" wrapText="1"/>
      <protection hidden="1"/>
    </xf>
    <xf numFmtId="14" fontId="1" fillId="6" borderId="10" xfId="24" applyNumberFormat="1" applyFont="1" applyFill="1" applyBorder="1" applyAlignment="1">
      <alignment horizontal="center" vertical="center" wrapText="1"/>
    </xf>
    <xf numFmtId="0" fontId="19" fillId="5" borderId="14" xfId="23" applyFont="1" applyFill="1" applyBorder="1" applyAlignment="1" applyProtection="1">
      <alignment horizontal="center" vertical="center" wrapText="1"/>
      <protection hidden="1"/>
    </xf>
    <xf numFmtId="10" fontId="17" fillId="7" borderId="20" xfId="0" applyNumberFormat="1" applyFont="1" applyFill="1" applyBorder="1" applyAlignment="1">
      <alignment horizontal="center" vertical="center" wrapText="1"/>
    </xf>
    <xf numFmtId="0" fontId="22" fillId="2" borderId="20" xfId="0" applyFont="1" applyFill="1" applyBorder="1" applyAlignment="1">
      <alignment horizontal="center" vertical="center" wrapText="1"/>
    </xf>
    <xf numFmtId="10" fontId="13" fillId="2" borderId="20" xfId="0" applyNumberFormat="1" applyFont="1" applyFill="1" applyBorder="1" applyAlignment="1">
      <alignment horizontal="center" vertical="center" wrapText="1"/>
    </xf>
    <xf numFmtId="1" fontId="13" fillId="2" borderId="20" xfId="0" applyNumberFormat="1" applyFont="1" applyFill="1" applyBorder="1" applyAlignment="1">
      <alignment horizontal="center" vertical="center" wrapText="1"/>
    </xf>
    <xf numFmtId="166" fontId="13" fillId="2" borderId="10" xfId="0" applyNumberFormat="1"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9" fillId="10" borderId="15" xfId="0" applyFont="1" applyFill="1" applyBorder="1" applyAlignment="1">
      <alignment horizontal="center" vertical="center" wrapText="1"/>
    </xf>
    <xf numFmtId="1" fontId="6" fillId="10" borderId="15" xfId="20" applyNumberFormat="1" applyFont="1" applyFill="1" applyBorder="1" applyAlignment="1">
      <alignment horizontal="center" vertical="center" wrapText="1"/>
    </xf>
    <xf numFmtId="0" fontId="10" fillId="10" borderId="15" xfId="0" applyFont="1" applyFill="1" applyBorder="1" applyAlignment="1">
      <alignment horizontal="center" vertical="center" wrapText="1"/>
    </xf>
    <xf numFmtId="9" fontId="6" fillId="10" borderId="15" xfId="0" applyNumberFormat="1" applyFont="1" applyFill="1" applyBorder="1" applyAlignment="1">
      <alignment horizontal="center" vertical="center" wrapText="1"/>
    </xf>
    <xf numFmtId="165" fontId="6" fillId="10" borderId="15" xfId="0" applyNumberFormat="1" applyFont="1" applyFill="1" applyBorder="1" applyAlignment="1">
      <alignment horizontal="center" vertical="center" wrapText="1"/>
    </xf>
    <xf numFmtId="1" fontId="6" fillId="10" borderId="15" xfId="0" applyNumberFormat="1" applyFont="1" applyFill="1" applyBorder="1" applyAlignment="1">
      <alignment horizontal="center" vertical="center" wrapText="1"/>
    </xf>
    <xf numFmtId="166" fontId="6" fillId="10" borderId="15" xfId="0" applyNumberFormat="1" applyFont="1" applyFill="1" applyBorder="1" applyAlignment="1">
      <alignment horizontal="center" vertical="center" wrapText="1"/>
    </xf>
    <xf numFmtId="0" fontId="20" fillId="10" borderId="1" xfId="23" applyFont="1" applyFill="1" applyBorder="1" applyAlignment="1" applyProtection="1">
      <alignment horizontal="center" vertical="center" wrapText="1"/>
      <protection hidden="1"/>
    </xf>
    <xf numFmtId="0" fontId="0" fillId="0" borderId="0" xfId="0" applyFont="1" applyAlignment="1">
      <alignment horizontal="center" vertical="center"/>
    </xf>
    <xf numFmtId="0" fontId="25" fillId="0" borderId="0" xfId="0" applyFont="1" applyAlignment="1">
      <alignment horizontal="center" vertical="center"/>
    </xf>
    <xf numFmtId="1" fontId="3" fillId="0" borderId="0" xfId="0" applyNumberFormat="1" applyFont="1" applyAlignment="1">
      <alignment horizontal="center" vertical="center"/>
    </xf>
    <xf numFmtId="166" fontId="3" fillId="0" borderId="0" xfId="0" applyNumberFormat="1" applyFont="1" applyAlignment="1">
      <alignment horizontal="center" vertical="center"/>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5" borderId="6" xfId="23" applyFont="1" applyFill="1" applyBorder="1" applyAlignment="1" applyProtection="1">
      <alignment horizontal="center" vertical="center" wrapText="1"/>
      <protection hidden="1"/>
    </xf>
    <xf numFmtId="0" fontId="18" fillId="6" borderId="6" xfId="23" applyFont="1" applyFill="1" applyBorder="1" applyAlignment="1" applyProtection="1">
      <alignment horizontal="center" vertical="center" wrapText="1"/>
      <protection hidden="1"/>
    </xf>
    <xf numFmtId="0" fontId="19" fillId="0" borderId="0" xfId="0" applyFont="1" applyAlignment="1">
      <alignment horizontal="center" vertical="center"/>
    </xf>
    <xf numFmtId="0" fontId="19" fillId="0" borderId="0" xfId="0" applyFont="1" applyAlignment="1">
      <alignment horizontal="center" vertical="center" wrapText="1"/>
    </xf>
    <xf numFmtId="0" fontId="17" fillId="0" borderId="0" xfId="0" applyFont="1" applyAlignment="1">
      <alignment horizontal="center" vertical="center" wrapText="1"/>
    </xf>
    <xf numFmtId="1" fontId="19" fillId="0" borderId="0" xfId="20" applyNumberFormat="1" applyFont="1" applyAlignment="1">
      <alignment horizontal="center" vertical="center" wrapText="1"/>
    </xf>
    <xf numFmtId="9" fontId="19"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1" fontId="19" fillId="0" borderId="0" xfId="0" applyNumberFormat="1" applyFont="1" applyAlignment="1">
      <alignment horizontal="center" vertical="center" wrapText="1"/>
    </xf>
    <xf numFmtId="164" fontId="19" fillId="0" borderId="0" xfId="0" applyNumberFormat="1" applyFont="1" applyAlignment="1">
      <alignment horizontal="center" vertical="center" wrapText="1"/>
    </xf>
    <xf numFmtId="0" fontId="26" fillId="0" borderId="0" xfId="0" applyFont="1"/>
    <xf numFmtId="0" fontId="19" fillId="0" borderId="0" xfId="0" applyFont="1"/>
    <xf numFmtId="0" fontId="19" fillId="0" borderId="0" xfId="0" applyFont="1" applyBorder="1" applyAlignment="1">
      <alignment horizontal="center" vertical="center" wrapText="1"/>
    </xf>
    <xf numFmtId="0" fontId="17" fillId="0" borderId="0" xfId="0" applyFont="1" applyBorder="1" applyAlignment="1">
      <alignment horizontal="center" vertical="center" wrapText="1"/>
    </xf>
    <xf numFmtId="1" fontId="19" fillId="0" borderId="0" xfId="20" applyNumberFormat="1" applyFont="1" applyBorder="1" applyAlignment="1">
      <alignment horizontal="center" vertical="center" wrapText="1"/>
    </xf>
    <xf numFmtId="9" fontId="19" fillId="0" borderId="0" xfId="0" applyNumberFormat="1" applyFont="1" applyBorder="1" applyAlignment="1">
      <alignment horizontal="center" vertical="center" wrapText="1"/>
    </xf>
    <xf numFmtId="165" fontId="19" fillId="0" borderId="0" xfId="0" applyNumberFormat="1" applyFont="1" applyBorder="1" applyAlignment="1">
      <alignment horizontal="center" vertical="center" wrapText="1"/>
    </xf>
    <xf numFmtId="1" fontId="19" fillId="0" borderId="0" xfId="0" applyNumberFormat="1" applyFont="1" applyBorder="1" applyAlignment="1">
      <alignment horizontal="center" vertical="center" wrapText="1"/>
    </xf>
    <xf numFmtId="164" fontId="19"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13" fillId="2" borderId="32" xfId="23" applyFont="1" applyFill="1" applyBorder="1" applyAlignment="1" applyProtection="1">
      <alignment horizontal="center" vertical="center" wrapText="1"/>
      <protection hidden="1"/>
    </xf>
    <xf numFmtId="0" fontId="13" fillId="2" borderId="33" xfId="23" applyFont="1" applyFill="1" applyBorder="1" applyAlignment="1" applyProtection="1">
      <alignment horizontal="center" vertical="center" wrapText="1"/>
      <protection hidden="1"/>
    </xf>
    <xf numFmtId="9" fontId="13" fillId="2" borderId="3" xfId="23" applyNumberFormat="1" applyFont="1" applyFill="1" applyBorder="1" applyAlignment="1" applyProtection="1">
      <alignment horizontal="center" vertical="center" wrapText="1"/>
      <protection hidden="1"/>
    </xf>
    <xf numFmtId="0" fontId="13" fillId="3" borderId="1" xfId="23" applyFont="1" applyFill="1" applyBorder="1" applyAlignment="1" applyProtection="1">
      <alignment horizontal="center" vertical="center" wrapText="1"/>
      <protection hidden="1"/>
    </xf>
    <xf numFmtId="0" fontId="19" fillId="0" borderId="34" xfId="0" applyFont="1" applyBorder="1" applyAlignment="1">
      <alignment horizontal="center" vertical="center" wrapText="1"/>
    </xf>
    <xf numFmtId="0" fontId="19" fillId="0" borderId="18" xfId="0" applyFont="1" applyBorder="1" applyAlignment="1">
      <alignment horizontal="center" vertical="center" wrapText="1"/>
    </xf>
    <xf numFmtId="0" fontId="1" fillId="6" borderId="5" xfId="23" applyFont="1" applyFill="1" applyBorder="1" applyAlignment="1" applyProtection="1">
      <alignment horizontal="center" vertical="center" wrapText="1"/>
      <protection hidden="1"/>
    </xf>
    <xf numFmtId="0" fontId="1" fillId="8" borderId="1" xfId="0" applyFont="1" applyFill="1" applyBorder="1" applyAlignment="1">
      <alignment horizontal="center" vertical="center" wrapText="1"/>
    </xf>
    <xf numFmtId="0" fontId="1" fillId="6" borderId="0" xfId="0" applyFont="1" applyFill="1" applyAlignment="1">
      <alignment horizontal="center" vertical="center" wrapText="1"/>
    </xf>
    <xf numFmtId="0" fontId="17" fillId="7"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9" fontId="1" fillId="0" borderId="3" xfId="22" applyFont="1" applyBorder="1" applyAlignment="1">
      <alignment horizontal="center" vertical="center" wrapText="1"/>
    </xf>
    <xf numFmtId="0" fontId="1" fillId="6" borderId="22" xfId="23" applyFont="1" applyFill="1" applyBorder="1" applyAlignment="1" applyProtection="1">
      <alignment horizontal="center" vertical="center" wrapText="1"/>
      <protection hidden="1"/>
    </xf>
    <xf numFmtId="0" fontId="19" fillId="0" borderId="10" xfId="0" applyFont="1" applyBorder="1" applyAlignment="1">
      <alignment horizontal="center" vertical="center" wrapText="1"/>
    </xf>
    <xf numFmtId="0" fontId="1" fillId="6" borderId="27" xfId="23" applyFont="1" applyFill="1" applyBorder="1" applyAlignment="1" applyProtection="1">
      <alignment horizontal="center" vertical="center" wrapText="1"/>
      <protection hidden="1"/>
    </xf>
    <xf numFmtId="168" fontId="17" fillId="7" borderId="20" xfId="0" applyNumberFormat="1" applyFont="1" applyFill="1" applyBorder="1" applyAlignment="1">
      <alignment horizontal="center" vertical="center" wrapText="1"/>
    </xf>
    <xf numFmtId="0" fontId="13" fillId="2" borderId="20" xfId="0" applyFont="1" applyFill="1" applyBorder="1" applyAlignment="1">
      <alignment vertical="center" wrapText="1"/>
    </xf>
    <xf numFmtId="0" fontId="13" fillId="2" borderId="15" xfId="0" applyFont="1" applyFill="1" applyBorder="1" applyAlignment="1">
      <alignment horizontal="center" vertical="center" wrapText="1"/>
    </xf>
    <xf numFmtId="9" fontId="13" fillId="2" borderId="15" xfId="22" applyFont="1" applyFill="1" applyBorder="1" applyAlignment="1">
      <alignment horizontal="center" vertical="center" wrapText="1"/>
    </xf>
    <xf numFmtId="1" fontId="13" fillId="2" borderId="15" xfId="0" applyNumberFormat="1" applyFont="1" applyFill="1" applyBorder="1" applyAlignment="1">
      <alignment horizontal="center" vertical="center" wrapText="1"/>
    </xf>
    <xf numFmtId="166" fontId="13" fillId="2" borderId="15" xfId="0" applyNumberFormat="1"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9" fillId="10" borderId="31"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9" fillId="10" borderId="15" xfId="0" applyFont="1" applyFill="1" applyBorder="1" applyAlignment="1">
      <alignment horizontal="center" vertical="center" wrapText="1"/>
    </xf>
    <xf numFmtId="1" fontId="19" fillId="10" borderId="15" xfId="20" applyNumberFormat="1" applyFont="1" applyFill="1" applyBorder="1" applyAlignment="1">
      <alignment horizontal="center" vertical="center" wrapText="1"/>
    </xf>
    <xf numFmtId="9" fontId="19" fillId="10" borderId="15" xfId="0" applyNumberFormat="1" applyFont="1" applyFill="1" applyBorder="1" applyAlignment="1">
      <alignment horizontal="center" vertical="center" wrapText="1"/>
    </xf>
    <xf numFmtId="165" fontId="19" fillId="10" borderId="15" xfId="0" applyNumberFormat="1" applyFont="1" applyFill="1" applyBorder="1" applyAlignment="1">
      <alignment horizontal="center" vertical="center" wrapText="1"/>
    </xf>
    <xf numFmtId="1" fontId="19" fillId="10" borderId="15" xfId="0" applyNumberFormat="1" applyFont="1" applyFill="1" applyBorder="1" applyAlignment="1">
      <alignment horizontal="center" vertical="center" wrapText="1"/>
    </xf>
    <xf numFmtId="164" fontId="19" fillId="10" borderId="15" xfId="0" applyNumberFormat="1" applyFont="1" applyFill="1" applyBorder="1" applyAlignment="1">
      <alignment horizontal="center" vertical="center" wrapText="1"/>
    </xf>
    <xf numFmtId="0" fontId="18" fillId="10" borderId="1" xfId="23" applyFont="1" applyFill="1" applyBorder="1" applyAlignment="1" applyProtection="1">
      <alignment horizontal="center" vertical="center" wrapText="1"/>
      <protection hidden="1"/>
    </xf>
    <xf numFmtId="0" fontId="17" fillId="0" borderId="0" xfId="0" applyFont="1" applyAlignment="1">
      <alignment horizontal="center" vertical="center"/>
    </xf>
    <xf numFmtId="1" fontId="19" fillId="0" borderId="0" xfId="0" applyNumberFormat="1" applyFont="1" applyAlignment="1">
      <alignment horizontal="center" vertical="center"/>
    </xf>
    <xf numFmtId="1" fontId="9" fillId="0" borderId="0" xfId="20" applyNumberFormat="1" applyFont="1" applyAlignment="1">
      <alignment horizontal="center" vertical="center" wrapText="1"/>
    </xf>
    <xf numFmtId="9" fontId="9" fillId="0" borderId="0" xfId="0" applyNumberFormat="1" applyFont="1" applyAlignment="1">
      <alignment horizontal="center" vertical="center" wrapText="1"/>
    </xf>
    <xf numFmtId="165" fontId="9" fillId="0" borderId="0" xfId="0" applyNumberFormat="1" applyFont="1" applyAlignment="1">
      <alignment horizontal="center" vertical="center" wrapText="1"/>
    </xf>
    <xf numFmtId="1"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27" fillId="0" borderId="0" xfId="0" applyFont="1"/>
    <xf numFmtId="1" fontId="9" fillId="0" borderId="0" xfId="2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165" fontId="9"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28" fillId="0" borderId="0" xfId="0" applyFont="1" applyBorder="1" applyAlignment="1">
      <alignment horizontal="center" vertical="center" wrapText="1"/>
    </xf>
    <xf numFmtId="0" fontId="13" fillId="2" borderId="6" xfId="23" applyFont="1" applyFill="1" applyBorder="1" applyAlignment="1" applyProtection="1">
      <alignment horizontal="center" vertical="center" wrapText="1"/>
      <protection hidden="1"/>
    </xf>
    <xf numFmtId="0" fontId="1" fillId="6" borderId="1" xfId="23" applyFont="1" applyFill="1" applyBorder="1" applyAlignment="1" applyProtection="1">
      <alignment horizontal="center" vertical="center" wrapText="1"/>
      <protection hidden="1"/>
    </xf>
    <xf numFmtId="9" fontId="1" fillId="6" borderId="11" xfId="22" applyFont="1" applyFill="1" applyBorder="1" applyAlignment="1" applyProtection="1">
      <alignment horizontal="center" vertical="center" wrapText="1"/>
      <protection hidden="1"/>
    </xf>
    <xf numFmtId="14" fontId="1" fillId="0" borderId="36" xfId="24" applyNumberFormat="1" applyFont="1" applyFill="1" applyBorder="1" applyAlignment="1">
      <alignment horizontal="center" vertical="center" wrapText="1"/>
    </xf>
    <xf numFmtId="0" fontId="1" fillId="6" borderId="37" xfId="23" applyFont="1" applyFill="1" applyBorder="1" applyAlignment="1" applyProtection="1">
      <alignment horizontal="center" vertical="center" wrapText="1"/>
      <protection hidden="1"/>
    </xf>
    <xf numFmtId="0" fontId="1" fillId="6" borderId="1" xfId="0" applyFont="1" applyFill="1" applyBorder="1" applyAlignment="1">
      <alignment horizontal="center" vertical="center" wrapText="1"/>
    </xf>
    <xf numFmtId="0" fontId="1" fillId="0" borderId="9" xfId="0" applyFont="1" applyBorder="1" applyAlignment="1">
      <alignment horizontal="center" vertical="center" wrapText="1"/>
    </xf>
    <xf numFmtId="14" fontId="1" fillId="6" borderId="11" xfId="23" applyNumberFormat="1" applyFont="1" applyFill="1" applyBorder="1" applyAlignment="1" applyProtection="1">
      <alignment horizontal="center" vertical="center" wrapText="1"/>
      <protection hidden="1"/>
    </xf>
    <xf numFmtId="3" fontId="1" fillId="5" borderId="11" xfId="0" applyNumberFormat="1" applyFont="1" applyFill="1" applyBorder="1" applyAlignment="1">
      <alignment horizontal="center" vertical="center" wrapText="1"/>
    </xf>
    <xf numFmtId="0" fontId="1" fillId="0" borderId="28" xfId="0" applyFont="1" applyBorder="1" applyAlignment="1">
      <alignment horizontal="center" vertical="center" wrapText="1"/>
    </xf>
    <xf numFmtId="14" fontId="1" fillId="6" borderId="22" xfId="24" applyNumberFormat="1" applyFont="1" applyFill="1" applyBorder="1" applyAlignment="1">
      <alignment horizontal="center" vertical="center" wrapText="1"/>
    </xf>
    <xf numFmtId="0" fontId="1" fillId="5" borderId="10" xfId="23" applyFont="1" applyFill="1" applyBorder="1" applyAlignment="1" applyProtection="1">
      <alignment horizontal="center" vertical="center" wrapText="1"/>
      <protection hidden="1"/>
    </xf>
    <xf numFmtId="0" fontId="1" fillId="6" borderId="3" xfId="23" applyFont="1" applyFill="1" applyBorder="1" applyAlignment="1" applyProtection="1">
      <alignment horizontal="center" vertical="center" wrapText="1"/>
      <protection hidden="1"/>
    </xf>
    <xf numFmtId="0" fontId="1" fillId="6" borderId="4" xfId="23" applyFont="1" applyFill="1" applyBorder="1" applyAlignment="1" applyProtection="1">
      <alignment horizontal="center" vertical="center" wrapText="1"/>
      <protection hidden="1"/>
    </xf>
    <xf numFmtId="0" fontId="1" fillId="6" borderId="12" xfId="23" applyFont="1" applyFill="1" applyBorder="1" applyAlignment="1" applyProtection="1">
      <alignment horizontal="center" vertical="center" wrapText="1"/>
      <protection hidden="1"/>
    </xf>
    <xf numFmtId="0" fontId="1" fillId="6" borderId="13" xfId="23" applyFont="1" applyFill="1" applyBorder="1" applyAlignment="1" applyProtection="1">
      <alignment horizontal="center" vertical="center" wrapText="1"/>
      <protection hidden="1"/>
    </xf>
    <xf numFmtId="0" fontId="1" fillId="6" borderId="38" xfId="23" applyFont="1" applyFill="1" applyBorder="1" applyAlignment="1" applyProtection="1">
      <alignment horizontal="center" vertical="center" wrapText="1"/>
      <protection hidden="1"/>
    </xf>
    <xf numFmtId="0" fontId="19" fillId="7" borderId="20" xfId="0" applyFont="1" applyFill="1" applyBorder="1" applyAlignment="1">
      <alignment horizontal="center" vertical="center" wrapText="1"/>
    </xf>
    <xf numFmtId="1" fontId="9" fillId="10" borderId="15" xfId="20" applyNumberFormat="1" applyFont="1" applyFill="1" applyBorder="1" applyAlignment="1">
      <alignment horizontal="center" vertical="center" wrapText="1"/>
    </xf>
    <xf numFmtId="9" fontId="9" fillId="10" borderId="15" xfId="0" applyNumberFormat="1" applyFont="1" applyFill="1" applyBorder="1" applyAlignment="1">
      <alignment horizontal="center" vertical="center" wrapText="1"/>
    </xf>
    <xf numFmtId="165" fontId="9" fillId="10" borderId="15" xfId="0" applyNumberFormat="1" applyFont="1" applyFill="1" applyBorder="1" applyAlignment="1">
      <alignment horizontal="center" vertical="center" wrapText="1"/>
    </xf>
    <xf numFmtId="1" fontId="9" fillId="10" borderId="15" xfId="0" applyNumberFormat="1" applyFont="1" applyFill="1" applyBorder="1" applyAlignment="1">
      <alignment horizontal="center" vertical="center" wrapText="1"/>
    </xf>
    <xf numFmtId="164" fontId="9" fillId="10" borderId="15" xfId="0" applyNumberFormat="1" applyFont="1" applyFill="1" applyBorder="1" applyAlignment="1">
      <alignment horizontal="center" vertical="center" wrapText="1"/>
    </xf>
    <xf numFmtId="1" fontId="0" fillId="0" borderId="0" xfId="0" applyNumberFormat="1" applyAlignment="1">
      <alignment horizontal="center" vertical="center"/>
    </xf>
    <xf numFmtId="166" fontId="9" fillId="0" borderId="0" xfId="21" applyNumberFormat="1" applyFont="1" applyAlignment="1">
      <alignment horizontal="center" vertical="center" wrapText="1"/>
    </xf>
    <xf numFmtId="166" fontId="9" fillId="0" borderId="0" xfId="21" applyNumberFormat="1" applyFont="1" applyBorder="1" applyAlignment="1">
      <alignment horizontal="center" vertical="center" wrapText="1"/>
    </xf>
    <xf numFmtId="166" fontId="13" fillId="2" borderId="4" xfId="21" applyNumberFormat="1" applyFont="1" applyFill="1" applyBorder="1" applyAlignment="1" applyProtection="1">
      <alignment horizontal="center" vertical="center" wrapText="1"/>
      <protection hidden="1"/>
    </xf>
    <xf numFmtId="1" fontId="19" fillId="0" borderId="10" xfId="20" applyNumberFormat="1" applyFont="1" applyBorder="1" applyAlignment="1">
      <alignment horizontal="center" vertical="center" wrapText="1"/>
    </xf>
    <xf numFmtId="166" fontId="1" fillId="6" borderId="11" xfId="21" applyNumberFormat="1" applyFont="1" applyFill="1" applyBorder="1" applyAlignment="1" applyProtection="1">
      <alignment horizontal="center" vertical="center" wrapText="1"/>
      <protection hidden="1"/>
    </xf>
    <xf numFmtId="44" fontId="24" fillId="6" borderId="21" xfId="21" applyFont="1" applyFill="1" applyBorder="1" applyAlignment="1" applyProtection="1">
      <alignment horizontal="center" vertical="center" wrapText="1"/>
      <protection hidden="1"/>
    </xf>
    <xf numFmtId="166" fontId="1" fillId="6" borderId="14" xfId="21" applyNumberFormat="1" applyFont="1" applyFill="1" applyBorder="1" applyAlignment="1" applyProtection="1">
      <alignment horizontal="center" vertical="center" wrapText="1"/>
      <protection hidden="1"/>
    </xf>
    <xf numFmtId="0" fontId="19" fillId="5" borderId="11" xfId="0" applyFont="1" applyFill="1" applyBorder="1" applyAlignment="1">
      <alignment horizontal="center" vertical="center" wrapText="1"/>
    </xf>
    <xf numFmtId="0" fontId="19" fillId="5" borderId="39" xfId="0" applyFont="1" applyFill="1" applyBorder="1" applyAlignment="1">
      <alignment horizontal="center" vertical="center" wrapText="1"/>
    </xf>
    <xf numFmtId="1" fontId="19" fillId="5" borderId="40" xfId="22" applyNumberFormat="1" applyFont="1" applyFill="1" applyBorder="1" applyAlignment="1">
      <alignment horizontal="center" vertical="center" wrapText="1"/>
    </xf>
    <xf numFmtId="0" fontId="1" fillId="6" borderId="36" xfId="23" applyFont="1" applyFill="1" applyBorder="1" applyAlignment="1" applyProtection="1">
      <alignment horizontal="center" vertical="center" wrapText="1"/>
      <protection hidden="1"/>
    </xf>
    <xf numFmtId="0" fontId="19" fillId="5" borderId="36" xfId="0" applyFont="1" applyFill="1" applyBorder="1" applyAlignment="1">
      <alignment horizontal="center" vertical="center" wrapText="1"/>
    </xf>
    <xf numFmtId="0" fontId="19" fillId="5" borderId="41" xfId="0" applyFont="1" applyFill="1" applyBorder="1" applyAlignment="1">
      <alignment horizontal="center" vertical="center" wrapText="1"/>
    </xf>
    <xf numFmtId="1" fontId="19" fillId="5" borderId="42" xfId="22" applyNumberFormat="1" applyFont="1" applyFill="1" applyBorder="1" applyAlignment="1">
      <alignment horizontal="center" vertical="center" wrapText="1"/>
    </xf>
    <xf numFmtId="1" fontId="19" fillId="5" borderId="36" xfId="22" applyNumberFormat="1" applyFont="1" applyFill="1" applyBorder="1" applyAlignment="1">
      <alignment horizontal="center" vertical="center" wrapText="1"/>
    </xf>
    <xf numFmtId="0" fontId="23" fillId="3" borderId="6" xfId="0" applyFont="1" applyFill="1" applyBorder="1" applyAlignment="1">
      <alignment horizontal="center" vertical="center" wrapText="1"/>
    </xf>
    <xf numFmtId="9" fontId="23" fillId="3" borderId="6" xfId="0" applyNumberFormat="1" applyFont="1" applyFill="1" applyBorder="1" applyAlignment="1">
      <alignment horizontal="center" vertical="center" wrapText="1"/>
    </xf>
    <xf numFmtId="0" fontId="1" fillId="6" borderId="19" xfId="23" applyFont="1" applyFill="1" applyBorder="1" applyAlignment="1" applyProtection="1">
      <alignment horizontal="center" vertical="center" wrapText="1"/>
      <protection hidden="1"/>
    </xf>
    <xf numFmtId="0" fontId="23" fillId="3" borderId="12" xfId="0" applyFont="1" applyFill="1" applyBorder="1" applyAlignment="1">
      <alignment horizontal="center" vertical="center" wrapText="1"/>
    </xf>
    <xf numFmtId="9" fontId="23" fillId="3" borderId="12" xfId="0" applyNumberFormat="1" applyFont="1" applyFill="1" applyBorder="1" applyAlignment="1">
      <alignment horizontal="center" vertical="center" wrapText="1"/>
    </xf>
    <xf numFmtId="0" fontId="1" fillId="6" borderId="23" xfId="23" applyFont="1" applyFill="1" applyBorder="1" applyAlignment="1" applyProtection="1">
      <alignment horizontal="center" vertical="center" wrapText="1"/>
      <protection hidden="1"/>
    </xf>
    <xf numFmtId="9" fontId="19" fillId="5" borderId="11" xfId="22" applyFont="1" applyFill="1" applyBorder="1" applyAlignment="1">
      <alignment horizontal="center" vertical="center" wrapText="1"/>
    </xf>
    <xf numFmtId="9" fontId="19" fillId="0" borderId="10" xfId="22" applyFont="1" applyBorder="1" applyAlignment="1">
      <alignment horizontal="center" vertical="center" wrapText="1"/>
    </xf>
    <xf numFmtId="0" fontId="1" fillId="6" borderId="6" xfId="23" applyFont="1" applyFill="1" applyBorder="1" applyAlignment="1" applyProtection="1">
      <alignment horizontal="center" vertical="center" wrapText="1"/>
      <protection hidden="1"/>
    </xf>
    <xf numFmtId="166" fontId="17" fillId="7" borderId="20" xfId="21"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9" fillId="0" borderId="20" xfId="0" applyFont="1" applyBorder="1" applyAlignment="1">
      <alignment horizontal="center" vertical="center" wrapText="1"/>
    </xf>
    <xf numFmtId="1" fontId="9" fillId="0" borderId="20" xfId="20" applyNumberFormat="1" applyFont="1" applyBorder="1" applyAlignment="1">
      <alignment horizontal="center" vertical="center" wrapText="1"/>
    </xf>
    <xf numFmtId="0" fontId="19" fillId="5" borderId="10" xfId="0" applyFont="1" applyFill="1" applyBorder="1" applyAlignment="1">
      <alignment horizontal="center" vertical="center" wrapText="1"/>
    </xf>
    <xf numFmtId="1" fontId="19" fillId="5" borderId="22" xfId="22" applyNumberFormat="1" applyFont="1" applyFill="1" applyBorder="1" applyAlignment="1">
      <alignment horizontal="center" vertical="center" wrapText="1"/>
    </xf>
    <xf numFmtId="0" fontId="19" fillId="6" borderId="12" xfId="23" applyFont="1" applyFill="1" applyBorder="1" applyAlignment="1" applyProtection="1">
      <alignment horizontal="center" vertical="center" wrapText="1"/>
      <protection hidden="1"/>
    </xf>
    <xf numFmtId="166" fontId="1" fillId="6" borderId="4" xfId="21" applyNumberFormat="1" applyFont="1" applyFill="1" applyBorder="1" applyAlignment="1" applyProtection="1">
      <alignment horizontal="center" vertical="center" wrapText="1"/>
      <protection hidden="1"/>
    </xf>
    <xf numFmtId="9" fontId="13" fillId="2" borderId="20" xfId="22"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166" fontId="9" fillId="10" borderId="15" xfId="0" applyNumberFormat="1" applyFont="1" applyFill="1" applyBorder="1" applyAlignment="1">
      <alignment horizontal="center" vertical="center" wrapText="1"/>
    </xf>
    <xf numFmtId="166" fontId="0" fillId="0" borderId="0" xfId="21" applyNumberFormat="1" applyFont="1" applyAlignment="1">
      <alignment horizontal="center" vertical="center"/>
    </xf>
    <xf numFmtId="0" fontId="1" fillId="0" borderId="11" xfId="23" applyFont="1" applyFill="1" applyBorder="1" applyAlignment="1" applyProtection="1">
      <alignment horizontal="center" vertical="center" wrapText="1"/>
      <protection hidden="1"/>
    </xf>
    <xf numFmtId="10" fontId="1" fillId="0" borderId="11" xfId="22" applyNumberFormat="1" applyFont="1" applyFill="1" applyBorder="1" applyAlignment="1" applyProtection="1">
      <alignment horizontal="center" vertical="center" wrapText="1"/>
      <protection hidden="1"/>
    </xf>
    <xf numFmtId="1" fontId="19" fillId="0" borderId="11" xfId="0" applyNumberFormat="1" applyFont="1" applyBorder="1" applyAlignment="1">
      <alignment horizontal="center" vertical="center" wrapText="1"/>
    </xf>
    <xf numFmtId="10" fontId="13" fillId="2" borderId="15" xfId="0" applyNumberFormat="1" applyFont="1" applyFill="1" applyBorder="1" applyAlignment="1">
      <alignment horizontal="center" vertical="center" wrapText="1"/>
    </xf>
    <xf numFmtId="0" fontId="23"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2" borderId="8" xfId="23" applyFont="1" applyFill="1" applyBorder="1" applyAlignment="1" applyProtection="1">
      <alignment horizontal="center" vertical="center" wrapText="1"/>
      <protection hidden="1"/>
    </xf>
    <xf numFmtId="0" fontId="13" fillId="2" borderId="10" xfId="23" applyFont="1" applyFill="1" applyBorder="1" applyAlignment="1" applyProtection="1">
      <alignment horizontal="center" vertical="center" wrapText="1"/>
      <protection hidden="1"/>
    </xf>
    <xf numFmtId="1" fontId="13" fillId="2" borderId="11" xfId="20" applyNumberFormat="1" applyFont="1" applyFill="1" applyBorder="1" applyAlignment="1" applyProtection="1">
      <alignment horizontal="center" vertical="center" wrapText="1"/>
      <protection hidden="1"/>
    </xf>
    <xf numFmtId="0" fontId="13" fillId="2" borderId="11" xfId="23" applyFont="1" applyFill="1" applyBorder="1" applyAlignment="1" applyProtection="1">
      <alignment horizontal="center" vertical="center" wrapText="1"/>
      <protection hidden="1"/>
    </xf>
    <xf numFmtId="9" fontId="13" fillId="2" borderId="11" xfId="23" applyNumberFormat="1" applyFont="1" applyFill="1" applyBorder="1" applyAlignment="1" applyProtection="1">
      <alignment horizontal="center" vertical="center" wrapText="1"/>
      <protection hidden="1"/>
    </xf>
    <xf numFmtId="0" fontId="13" fillId="2" borderId="11" xfId="23" applyFont="1" applyFill="1" applyBorder="1" applyAlignment="1" applyProtection="1">
      <alignment horizontal="center" vertical="center" textRotation="90" wrapText="1"/>
      <protection hidden="1"/>
    </xf>
    <xf numFmtId="1" fontId="13" fillId="2" borderId="11" xfId="23" applyNumberFormat="1" applyFont="1" applyFill="1" applyBorder="1" applyAlignment="1" applyProtection="1">
      <alignment horizontal="center" vertical="center" wrapText="1"/>
      <protection hidden="1"/>
    </xf>
    <xf numFmtId="0" fontId="13" fillId="2" borderId="21" xfId="23" applyFont="1" applyFill="1" applyBorder="1" applyAlignment="1" applyProtection="1">
      <alignment horizontal="center" vertical="center" wrapText="1"/>
      <protection hidden="1"/>
    </xf>
    <xf numFmtId="0" fontId="1" fillId="0" borderId="23" xfId="23" applyFont="1" applyFill="1" applyBorder="1" applyAlignment="1" applyProtection="1">
      <alignment horizontal="center" vertical="center" wrapText="1"/>
      <protection hidden="1"/>
    </xf>
    <xf numFmtId="0" fontId="1" fillId="0" borderId="43" xfId="23" applyFont="1" applyFill="1" applyBorder="1" applyAlignment="1" applyProtection="1">
      <alignment horizontal="center" vertical="center" wrapText="1"/>
      <protection hidden="1"/>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1" xfId="23" applyFont="1" applyFill="1" applyBorder="1" applyAlignment="1" applyProtection="1">
      <alignment horizontal="center" vertical="center" wrapText="1"/>
      <protection hidden="1"/>
    </xf>
    <xf numFmtId="10" fontId="1" fillId="0" borderId="30" xfId="22" applyNumberFormat="1" applyFont="1" applyFill="1" applyBorder="1" applyAlignment="1" applyProtection="1">
      <alignment horizontal="center" vertical="center" wrapText="1"/>
      <protection hidden="1"/>
    </xf>
    <xf numFmtId="0" fontId="1" fillId="0" borderId="45" xfId="23" applyFont="1" applyFill="1" applyBorder="1" applyAlignment="1" applyProtection="1">
      <alignment horizontal="center" vertical="center" wrapText="1"/>
      <protection hidden="1"/>
    </xf>
    <xf numFmtId="0" fontId="1" fillId="5" borderId="36" xfId="23" applyFont="1" applyFill="1" applyBorder="1" applyAlignment="1" applyProtection="1">
      <alignment horizontal="center" vertical="center" wrapText="1"/>
      <protection hidden="1"/>
    </xf>
    <xf numFmtId="3" fontId="19" fillId="5" borderId="36" xfId="0" applyNumberFormat="1" applyFont="1" applyFill="1" applyBorder="1" applyAlignment="1">
      <alignment horizontal="center" vertical="center" wrapText="1"/>
    </xf>
    <xf numFmtId="0" fontId="1" fillId="0" borderId="46" xfId="23" applyFont="1" applyFill="1" applyBorder="1" applyAlignment="1" applyProtection="1">
      <alignment horizontal="center" vertical="center" wrapText="1"/>
      <protection hidden="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23" applyFont="1" applyFill="1" applyBorder="1" applyAlignment="1" applyProtection="1">
      <alignment horizontal="center" vertical="center" wrapText="1"/>
      <protection hidden="1"/>
    </xf>
    <xf numFmtId="0" fontId="1" fillId="0" borderId="10" xfId="23" applyFont="1" applyFill="1" applyBorder="1" applyAlignment="1" applyProtection="1">
      <alignment horizontal="center" vertical="center" wrapText="1"/>
      <protection hidden="1"/>
    </xf>
    <xf numFmtId="0" fontId="1" fillId="0" borderId="16"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16" xfId="23" applyFont="1" applyFill="1" applyBorder="1" applyAlignment="1" applyProtection="1">
      <alignment horizontal="center" vertical="center" wrapText="1"/>
      <protection hidden="1"/>
    </xf>
    <xf numFmtId="0" fontId="1" fillId="0" borderId="47" xfId="23" applyFont="1" applyFill="1" applyBorder="1" applyAlignment="1" applyProtection="1">
      <alignment horizontal="center" vertical="center" wrapText="1"/>
      <protection hidden="1"/>
    </xf>
    <xf numFmtId="0" fontId="1" fillId="0" borderId="30" xfId="0" applyFont="1" applyFill="1" applyBorder="1" applyAlignment="1">
      <alignment horizontal="center" vertical="center" wrapText="1"/>
    </xf>
    <xf numFmtId="10" fontId="1" fillId="0" borderId="36" xfId="22" applyNumberFormat="1" applyFont="1" applyFill="1" applyBorder="1" applyAlignment="1" applyProtection="1">
      <alignment horizontal="center" vertical="center" wrapText="1"/>
      <protection hidden="1"/>
    </xf>
    <xf numFmtId="0" fontId="19" fillId="5" borderId="40" xfId="23" applyFont="1" applyFill="1" applyBorder="1" applyAlignment="1" applyProtection="1">
      <alignment horizontal="center" vertical="center" wrapText="1"/>
      <protection hidden="1"/>
    </xf>
    <xf numFmtId="0" fontId="19" fillId="0" borderId="10" xfId="23" applyFont="1" applyFill="1" applyBorder="1" applyAlignment="1" applyProtection="1">
      <alignment horizontal="center" vertical="center" wrapText="1"/>
      <protection hidden="1"/>
    </xf>
    <xf numFmtId="0" fontId="19" fillId="5" borderId="38" xfId="23" applyFont="1" applyFill="1" applyBorder="1" applyAlignment="1" applyProtection="1">
      <alignment horizontal="center" vertical="center" wrapText="1"/>
      <protection hidden="1"/>
    </xf>
    <xf numFmtId="3" fontId="19" fillId="5" borderId="13" xfId="0" applyNumberFormat="1" applyFont="1" applyFill="1" applyBorder="1" applyAlignment="1">
      <alignment horizontal="center" vertical="center" wrapText="1"/>
    </xf>
    <xf numFmtId="0" fontId="19" fillId="0" borderId="9" xfId="23" applyFont="1" applyFill="1" applyBorder="1" applyAlignment="1" applyProtection="1">
      <alignment horizontal="center" vertical="center" wrapText="1"/>
      <protection hidden="1"/>
    </xf>
    <xf numFmtId="0" fontId="19" fillId="0" borderId="9" xfId="0" applyFont="1" applyFill="1" applyBorder="1" applyAlignment="1">
      <alignment horizontal="center" vertical="center" wrapText="1"/>
    </xf>
    <xf numFmtId="10" fontId="19" fillId="0" borderId="11" xfId="22" applyNumberFormat="1" applyFont="1" applyFill="1" applyBorder="1" applyAlignment="1" applyProtection="1">
      <alignment horizontal="center" vertical="center" wrapText="1"/>
      <protection hidden="1"/>
    </xf>
    <xf numFmtId="0" fontId="19" fillId="0" borderId="11" xfId="23" applyFont="1" applyFill="1" applyBorder="1" applyAlignment="1" applyProtection="1">
      <alignment horizontal="center" vertical="center" wrapText="1"/>
      <protection hidden="1"/>
    </xf>
    <xf numFmtId="10" fontId="17" fillId="7" borderId="20" xfId="22" applyNumberFormat="1" applyFont="1" applyFill="1" applyBorder="1" applyAlignment="1">
      <alignment horizontal="center" vertical="center" wrapText="1"/>
    </xf>
    <xf numFmtId="0" fontId="1" fillId="0" borderId="44" xfId="23" applyFont="1" applyFill="1" applyBorder="1" applyAlignment="1" applyProtection="1">
      <alignment horizontal="center" vertical="center" wrapText="1"/>
      <protection hidden="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23" applyFont="1" applyFill="1" applyBorder="1" applyAlignment="1" applyProtection="1">
      <alignment horizontal="center" vertical="center" wrapText="1"/>
      <protection hidden="1"/>
    </xf>
    <xf numFmtId="14" fontId="1" fillId="0" borderId="50" xfId="24" applyNumberFormat="1" applyFont="1" applyFill="1" applyBorder="1" applyAlignment="1">
      <alignment horizontal="center" vertical="center" wrapText="1"/>
    </xf>
    <xf numFmtId="0" fontId="1" fillId="5" borderId="50" xfId="23" applyFont="1" applyFill="1" applyBorder="1" applyAlignment="1" applyProtection="1">
      <alignment horizontal="center" vertical="center" wrapText="1"/>
      <protection hidden="1"/>
    </xf>
    <xf numFmtId="3" fontId="19" fillId="5" borderId="50" xfId="0" applyNumberFormat="1" applyFont="1" applyFill="1" applyBorder="1" applyAlignment="1">
      <alignment horizontal="center" vertical="center" wrapText="1"/>
    </xf>
    <xf numFmtId="0" fontId="1" fillId="0" borderId="9" xfId="23" applyFont="1" applyFill="1" applyBorder="1" applyAlignment="1" applyProtection="1">
      <alignment horizontal="center" vertical="center" wrapText="1"/>
      <protection hidden="1"/>
    </xf>
    <xf numFmtId="14" fontId="19" fillId="0" borderId="11" xfId="23" applyNumberFormat="1" applyFont="1" applyFill="1" applyBorder="1" applyAlignment="1" applyProtection="1">
      <alignment horizontal="center" vertical="center" wrapText="1"/>
      <protection hidden="1"/>
    </xf>
    <xf numFmtId="0" fontId="19" fillId="0" borderId="16" xfId="23" applyFont="1" applyFill="1" applyBorder="1" applyAlignment="1" applyProtection="1">
      <alignment horizontal="center" vertical="center" wrapText="1"/>
      <protection hidden="1"/>
    </xf>
    <xf numFmtId="0" fontId="19" fillId="0" borderId="16"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23" applyFont="1" applyFill="1" applyBorder="1" applyAlignment="1" applyProtection="1">
      <alignment horizontal="center" vertical="center" wrapText="1"/>
      <protection hidden="1"/>
    </xf>
    <xf numFmtId="14" fontId="19" fillId="0" borderId="14" xfId="23" applyNumberFormat="1" applyFont="1" applyFill="1" applyBorder="1" applyAlignment="1" applyProtection="1">
      <alignment horizontal="center" vertical="center" wrapText="1"/>
      <protection hidden="1"/>
    </xf>
    <xf numFmtId="1" fontId="19" fillId="0" borderId="14" xfId="0" applyNumberFormat="1" applyFont="1" applyBorder="1" applyAlignment="1">
      <alignment horizontal="center" vertical="center" wrapText="1"/>
    </xf>
    <xf numFmtId="0" fontId="1" fillId="0" borderId="28" xfId="0" applyFont="1" applyFill="1" applyBorder="1" applyAlignment="1">
      <alignment horizontal="center" vertical="center" wrapText="1"/>
    </xf>
    <xf numFmtId="14" fontId="1" fillId="0" borderId="9" xfId="23" applyNumberFormat="1" applyFont="1" applyFill="1" applyBorder="1" applyAlignment="1" applyProtection="1">
      <alignment horizontal="center" vertical="center" wrapText="1"/>
      <protection hidden="1"/>
    </xf>
    <xf numFmtId="14" fontId="1" fillId="0" borderId="20" xfId="23" applyNumberFormat="1" applyFont="1" applyFill="1" applyBorder="1" applyAlignment="1" applyProtection="1">
      <alignment horizontal="center" vertical="center" wrapText="1"/>
      <protection hidden="1"/>
    </xf>
    <xf numFmtId="0" fontId="1" fillId="5" borderId="51" xfId="23" applyFont="1" applyFill="1" applyBorder="1" applyAlignment="1" applyProtection="1">
      <alignment horizontal="center" vertical="center" wrapText="1"/>
      <protection hidden="1"/>
    </xf>
    <xf numFmtId="0" fontId="1" fillId="5" borderId="28" xfId="23" applyFont="1" applyFill="1" applyBorder="1" applyAlignment="1" applyProtection="1">
      <alignment horizontal="center" vertical="center" wrapText="1"/>
      <protection hidden="1"/>
    </xf>
    <xf numFmtId="0" fontId="1" fillId="5" borderId="9" xfId="23" applyFont="1" applyFill="1" applyBorder="1" applyAlignment="1" applyProtection="1">
      <alignment horizontal="center" vertical="center" wrapText="1"/>
      <protection hidden="1"/>
    </xf>
    <xf numFmtId="0" fontId="1" fillId="5" borderId="20" xfId="23" applyFont="1" applyFill="1" applyBorder="1" applyAlignment="1" applyProtection="1">
      <alignment horizontal="center" vertical="center" wrapText="1"/>
      <protection hidden="1"/>
    </xf>
    <xf numFmtId="3" fontId="19" fillId="5" borderId="28" xfId="0" applyNumberFormat="1" applyFont="1" applyFill="1" applyBorder="1" applyAlignment="1">
      <alignment horizontal="center" vertical="center" wrapText="1"/>
    </xf>
    <xf numFmtId="3" fontId="19" fillId="5" borderId="20" xfId="0" applyNumberFormat="1" applyFont="1" applyFill="1" applyBorder="1" applyAlignment="1">
      <alignment horizontal="center" vertical="center" wrapText="1"/>
    </xf>
    <xf numFmtId="3" fontId="19" fillId="5" borderId="9" xfId="0" applyNumberFormat="1" applyFont="1" applyFill="1" applyBorder="1" applyAlignment="1">
      <alignment horizontal="center" vertical="center" wrapText="1"/>
    </xf>
    <xf numFmtId="1" fontId="19" fillId="0" borderId="9" xfId="20" applyNumberFormat="1" applyFont="1" applyBorder="1" applyAlignment="1">
      <alignment horizontal="center" vertical="center" wrapText="1"/>
    </xf>
    <xf numFmtId="0" fontId="19" fillId="0" borderId="6" xfId="23" applyFont="1" applyFill="1" applyBorder="1" applyAlignment="1" applyProtection="1">
      <alignment horizontal="center" vertical="center" wrapText="1"/>
      <protection hidden="1"/>
    </xf>
    <xf numFmtId="0" fontId="19" fillId="6" borderId="25" xfId="23" applyFont="1" applyFill="1" applyBorder="1" applyAlignment="1" applyProtection="1">
      <alignment horizontal="center" vertical="center" wrapText="1"/>
      <protection hidden="1"/>
    </xf>
    <xf numFmtId="0" fontId="1" fillId="6" borderId="9" xfId="0" applyFont="1" applyFill="1" applyBorder="1" applyAlignment="1">
      <alignment horizontal="center" vertical="center" wrapText="1"/>
    </xf>
    <xf numFmtId="0" fontId="19" fillId="6" borderId="6" xfId="23" applyFont="1" applyFill="1" applyBorder="1" applyAlignment="1" applyProtection="1">
      <alignment horizontal="center" vertical="center" wrapText="1"/>
      <protection hidden="1"/>
    </xf>
    <xf numFmtId="0" fontId="19" fillId="6" borderId="13" xfId="23" applyFont="1" applyFill="1" applyBorder="1" applyAlignment="1" applyProtection="1">
      <alignment horizontal="center" vertical="center" wrapText="1"/>
      <protection hidden="1"/>
    </xf>
    <xf numFmtId="9" fontId="1" fillId="6" borderId="14" xfId="22" applyFont="1" applyFill="1" applyBorder="1" applyAlignment="1" applyProtection="1">
      <alignment horizontal="center" vertical="center" wrapText="1"/>
      <protection hidden="1"/>
    </xf>
    <xf numFmtId="14" fontId="19" fillId="6" borderId="52" xfId="23" applyNumberFormat="1" applyFont="1" applyFill="1" applyBorder="1" applyAlignment="1" applyProtection="1">
      <alignment horizontal="center" vertical="center" wrapText="1"/>
      <protection hidden="1"/>
    </xf>
    <xf numFmtId="0" fontId="19" fillId="6" borderId="1" xfId="23" applyFont="1" applyFill="1" applyBorder="1" applyAlignment="1" applyProtection="1">
      <alignment horizontal="center" vertical="center" wrapText="1"/>
      <protection hidden="1"/>
    </xf>
    <xf numFmtId="9" fontId="19" fillId="6" borderId="11" xfId="22" applyFont="1" applyFill="1" applyBorder="1" applyAlignment="1" applyProtection="1">
      <alignment horizontal="center" vertical="center" wrapText="1"/>
      <protection hidden="1"/>
    </xf>
    <xf numFmtId="1" fontId="19" fillId="0" borderId="11" xfId="20" applyNumberFormat="1" applyFont="1" applyFill="1" applyBorder="1" applyAlignment="1">
      <alignment horizontal="center" vertical="center" wrapText="1"/>
    </xf>
    <xf numFmtId="166" fontId="9" fillId="0" borderId="0" xfId="0" applyNumberFormat="1" applyFont="1" applyBorder="1" applyAlignment="1">
      <alignment horizontal="center" vertical="center" wrapText="1"/>
    </xf>
    <xf numFmtId="0" fontId="1" fillId="6" borderId="43" xfId="0" applyFont="1" applyFill="1" applyBorder="1" applyAlignment="1">
      <alignment horizontal="center" vertical="center" wrapText="1"/>
    </xf>
    <xf numFmtId="9" fontId="1" fillId="0" borderId="50" xfId="22" applyFont="1" applyFill="1" applyBorder="1" applyAlignment="1" applyProtection="1">
      <alignment horizontal="center" vertical="center" wrapText="1"/>
      <protection hidden="1"/>
    </xf>
    <xf numFmtId="166" fontId="1" fillId="6" borderId="50" xfId="21" applyNumberFormat="1" applyFont="1" applyFill="1" applyBorder="1" applyAlignment="1" applyProtection="1">
      <alignment horizontal="center" vertical="center" wrapText="1"/>
      <protection hidden="1"/>
    </xf>
    <xf numFmtId="0" fontId="19" fillId="0" borderId="0" xfId="0" applyFont="1" applyFill="1" applyBorder="1" applyAlignment="1">
      <alignment horizontal="center" vertical="center" wrapText="1"/>
    </xf>
    <xf numFmtId="166" fontId="1" fillId="6" borderId="28" xfId="23" applyNumberFormat="1" applyFont="1" applyFill="1" applyBorder="1" applyAlignment="1" applyProtection="1">
      <alignment horizontal="center" vertical="center" wrapText="1"/>
      <protection hidden="1"/>
    </xf>
    <xf numFmtId="0" fontId="7"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2" borderId="20" xfId="23" applyFont="1" applyFill="1" applyBorder="1" applyAlignment="1" applyProtection="1">
      <alignment horizontal="center" vertical="center" wrapText="1"/>
      <protection hidden="1"/>
    </xf>
    <xf numFmtId="0" fontId="13" fillId="2" borderId="19" xfId="23" applyFont="1" applyFill="1" applyBorder="1" applyAlignment="1" applyProtection="1">
      <alignment horizontal="center" vertical="center" wrapText="1"/>
      <protection hidden="1"/>
    </xf>
    <xf numFmtId="9" fontId="1" fillId="0" borderId="16" xfId="22" applyFont="1" applyFill="1" applyBorder="1" applyAlignment="1">
      <alignment horizontal="center" vertical="center" wrapText="1"/>
    </xf>
    <xf numFmtId="0" fontId="1" fillId="0" borderId="11" xfId="0" applyFont="1" applyFill="1" applyBorder="1" applyAlignment="1">
      <alignment horizontal="center" vertical="center" wrapText="1"/>
    </xf>
    <xf numFmtId="1" fontId="19" fillId="0" borderId="7" xfId="20" applyNumberFormat="1" applyFont="1" applyBorder="1" applyAlignment="1">
      <alignment horizontal="center" vertical="center" wrapText="1"/>
    </xf>
    <xf numFmtId="0" fontId="1" fillId="0" borderId="7" xfId="23" applyFont="1" applyFill="1" applyBorder="1" applyAlignment="1" applyProtection="1">
      <alignment horizontal="center" vertical="center" wrapText="1"/>
      <protection hidden="1"/>
    </xf>
    <xf numFmtId="0" fontId="1" fillId="0" borderId="26" xfId="0" applyFont="1" applyFill="1" applyBorder="1" applyAlignment="1">
      <alignment horizontal="center" vertical="center" wrapText="1"/>
    </xf>
    <xf numFmtId="14" fontId="1" fillId="0" borderId="2" xfId="23" applyNumberFormat="1" applyFont="1" applyFill="1" applyBorder="1" applyAlignment="1" applyProtection="1">
      <alignment horizontal="center" vertical="center" wrapText="1"/>
      <protection hidden="1"/>
    </xf>
    <xf numFmtId="9" fontId="1" fillId="6" borderId="22" xfId="23" applyNumberFormat="1" applyFont="1" applyFill="1" applyBorder="1" applyAlignment="1" applyProtection="1">
      <alignment horizontal="center" vertical="center" wrapText="1"/>
      <protection hidden="1"/>
    </xf>
    <xf numFmtId="0" fontId="19" fillId="0" borderId="4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166" fontId="1" fillId="6" borderId="26" xfId="23" applyNumberFormat="1" applyFont="1" applyFill="1" applyBorder="1" applyAlignment="1" applyProtection="1">
      <alignment horizontal="center" vertical="center" wrapText="1"/>
      <protection hidden="1"/>
    </xf>
    <xf numFmtId="1" fontId="19" fillId="0" borderId="22" xfId="0" applyNumberFormat="1" applyFont="1" applyFill="1" applyBorder="1" applyAlignment="1">
      <alignment horizontal="center" vertical="center" wrapText="1"/>
    </xf>
    <xf numFmtId="9" fontId="1" fillId="5" borderId="11" xfId="23" applyNumberFormat="1" applyFont="1" applyFill="1" applyBorder="1" applyAlignment="1" applyProtection="1">
      <alignment horizontal="center" vertical="center" wrapText="1"/>
      <protection hidden="1"/>
    </xf>
    <xf numFmtId="1" fontId="1" fillId="5" borderId="4" xfId="23" applyNumberFormat="1" applyFont="1" applyFill="1" applyBorder="1" applyAlignment="1" applyProtection="1">
      <alignment horizontal="center" vertical="center" wrapText="1"/>
      <protection hidden="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9" fontId="1" fillId="0" borderId="28" xfId="0" applyNumberFormat="1" applyFont="1" applyFill="1" applyBorder="1" applyAlignment="1">
      <alignment horizontal="center" vertical="center" wrapText="1"/>
    </xf>
    <xf numFmtId="0" fontId="1" fillId="6" borderId="2" xfId="23" applyFont="1" applyFill="1" applyBorder="1" applyAlignment="1" applyProtection="1">
      <alignment horizontal="center" vertical="center" wrapText="1"/>
      <protection hidden="1"/>
    </xf>
    <xf numFmtId="0" fontId="1" fillId="0" borderId="2" xfId="0" applyFont="1" applyBorder="1" applyAlignment="1">
      <alignment horizontal="center" vertical="center" wrapText="1"/>
    </xf>
    <xf numFmtId="9" fontId="1" fillId="0" borderId="28" xfId="0" applyNumberFormat="1" applyFont="1" applyBorder="1" applyAlignment="1">
      <alignment horizontal="center" vertical="center" wrapText="1"/>
    </xf>
    <xf numFmtId="9" fontId="1" fillId="5" borderId="4" xfId="23" applyNumberFormat="1" applyFont="1" applyFill="1" applyBorder="1" applyAlignment="1" applyProtection="1">
      <alignment horizontal="center" vertical="center" wrapText="1"/>
      <protection hidden="1"/>
    </xf>
    <xf numFmtId="0" fontId="1" fillId="5" borderId="3" xfId="23" applyFont="1" applyFill="1" applyBorder="1" applyAlignment="1" applyProtection="1">
      <alignment horizontal="center" vertical="center" wrapText="1"/>
      <protection hidden="1"/>
    </xf>
    <xf numFmtId="14" fontId="1" fillId="6" borderId="17" xfId="24"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2" xfId="0" applyNumberFormat="1" applyFont="1" applyBorder="1" applyAlignment="1">
      <alignment horizontal="center" vertical="center" wrapText="1"/>
    </xf>
    <xf numFmtId="0" fontId="17" fillId="7" borderId="20" xfId="0" applyFont="1" applyFill="1" applyBorder="1" applyAlignment="1">
      <alignment vertical="center" wrapText="1"/>
    </xf>
    <xf numFmtId="3" fontId="17" fillId="7" borderId="20" xfId="0" applyNumberFormat="1" applyFont="1" applyFill="1" applyBorder="1" applyAlignment="1">
      <alignment horizontal="center" vertical="center" wrapText="1"/>
    </xf>
    <xf numFmtId="164" fontId="17" fillId="7" borderId="20" xfId="0" applyNumberFormat="1" applyFont="1" applyFill="1" applyBorder="1" applyAlignment="1">
      <alignment horizontal="center" vertical="center" wrapText="1"/>
    </xf>
    <xf numFmtId="0" fontId="17" fillId="7" borderId="5" xfId="0" applyFont="1" applyFill="1" applyBorder="1" applyAlignment="1">
      <alignment horizontal="center" vertical="center" wrapText="1"/>
    </xf>
    <xf numFmtId="0" fontId="1" fillId="6" borderId="44" xfId="23" applyFont="1" applyFill="1" applyBorder="1" applyAlignment="1" applyProtection="1">
      <alignment horizontal="center" vertical="center" wrapText="1"/>
      <protection hidden="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9" fontId="1" fillId="6" borderId="50" xfId="22" applyFont="1" applyFill="1" applyBorder="1" applyAlignment="1" applyProtection="1">
      <alignment horizontal="center" vertical="center" wrapText="1"/>
      <protection hidden="1"/>
    </xf>
    <xf numFmtId="0" fontId="1" fillId="6" borderId="50" xfId="23" applyFont="1" applyFill="1" applyBorder="1" applyAlignment="1" applyProtection="1">
      <alignment horizontal="center" vertical="center" wrapText="1"/>
      <protection hidden="1"/>
    </xf>
    <xf numFmtId="14" fontId="1" fillId="6" borderId="50" xfId="24" applyNumberFormat="1" applyFont="1" applyFill="1" applyBorder="1" applyAlignment="1">
      <alignment horizontal="center" vertical="center" wrapText="1"/>
    </xf>
    <xf numFmtId="9" fontId="1" fillId="0" borderId="9" xfId="0" applyNumberFormat="1" applyFont="1" applyBorder="1" applyAlignment="1">
      <alignment horizontal="center" vertical="center" wrapText="1"/>
    </xf>
    <xf numFmtId="1" fontId="19" fillId="0" borderId="11" xfId="22" applyNumberFormat="1" applyFont="1" applyBorder="1" applyAlignment="1">
      <alignment horizontal="center" vertical="center" wrapText="1"/>
    </xf>
    <xf numFmtId="0" fontId="1" fillId="6" borderId="47" xfId="23" applyFont="1" applyFill="1" applyBorder="1" applyAlignment="1" applyProtection="1">
      <alignment horizontal="center" vertical="center" wrapText="1"/>
      <protection hidden="1"/>
    </xf>
    <xf numFmtId="0" fontId="19" fillId="6" borderId="14" xfId="23" applyFont="1" applyFill="1" applyBorder="1" applyAlignment="1" applyProtection="1">
      <alignment horizontal="center" vertical="center" wrapText="1"/>
      <protection hidden="1"/>
    </xf>
    <xf numFmtId="14" fontId="19" fillId="6" borderId="14" xfId="23" applyNumberFormat="1" applyFont="1" applyFill="1" applyBorder="1" applyAlignment="1" applyProtection="1">
      <alignment horizontal="center" vertical="center" wrapText="1"/>
      <protection hidden="1"/>
    </xf>
    <xf numFmtId="0" fontId="1" fillId="6" borderId="46" xfId="23" applyFont="1" applyFill="1" applyBorder="1" applyAlignment="1" applyProtection="1">
      <alignment horizontal="center" vertical="center" wrapText="1"/>
      <protection hidden="1"/>
    </xf>
    <xf numFmtId="0" fontId="19" fillId="6" borderId="28" xfId="23" applyFont="1" applyFill="1" applyBorder="1" applyAlignment="1" applyProtection="1">
      <alignment horizontal="center" vertical="center" wrapText="1"/>
      <protection hidden="1"/>
    </xf>
    <xf numFmtId="0" fontId="1" fillId="6" borderId="28" xfId="23" applyFont="1" applyFill="1" applyBorder="1" applyAlignment="1" applyProtection="1">
      <alignment horizontal="center" vertical="center" wrapText="1"/>
      <protection hidden="1"/>
    </xf>
    <xf numFmtId="14" fontId="1" fillId="6" borderId="9" xfId="23" applyNumberFormat="1" applyFont="1" applyFill="1" applyBorder="1" applyAlignment="1" applyProtection="1">
      <alignment horizontal="center" vertical="center" wrapText="1"/>
      <protection hidden="1"/>
    </xf>
    <xf numFmtId="1" fontId="19" fillId="0" borderId="40" xfId="20" applyNumberFormat="1" applyFont="1" applyBorder="1" applyAlignment="1">
      <alignment horizontal="center" vertical="center" wrapText="1"/>
    </xf>
    <xf numFmtId="0" fontId="1" fillId="5" borderId="53" xfId="23" applyFont="1" applyFill="1" applyBorder="1" applyAlignment="1" applyProtection="1">
      <alignment horizontal="center" vertical="center" wrapText="1"/>
      <protection hidden="1"/>
    </xf>
    <xf numFmtId="14" fontId="1" fillId="6" borderId="20" xfId="23" applyNumberFormat="1" applyFont="1" applyFill="1" applyBorder="1" applyAlignment="1" applyProtection="1">
      <alignment horizontal="center" vertical="center" wrapText="1"/>
      <protection hidden="1"/>
    </xf>
    <xf numFmtId="14" fontId="1" fillId="6" borderId="28" xfId="23" applyNumberFormat="1" applyFont="1" applyFill="1" applyBorder="1" applyAlignment="1" applyProtection="1">
      <alignment horizontal="center" vertical="center" wrapText="1"/>
      <protection hidden="1"/>
    </xf>
    <xf numFmtId="0" fontId="25" fillId="0" borderId="0" xfId="0" applyFont="1" applyAlignment="1">
      <alignment horizontal="center" vertical="center" wrapText="1"/>
    </xf>
    <xf numFmtId="0" fontId="19" fillId="0" borderId="0" xfId="0" applyFont="1" applyFill="1" applyAlignment="1">
      <alignment horizontal="center" vertical="center" wrapText="1"/>
    </xf>
    <xf numFmtId="0" fontId="30" fillId="0" borderId="0" xfId="0" applyFont="1"/>
    <xf numFmtId="0" fontId="17" fillId="0" borderId="0" xfId="0" applyFont="1" applyFill="1" applyAlignment="1">
      <alignment horizontal="center" vertical="center" wrapText="1"/>
    </xf>
    <xf numFmtId="1" fontId="13" fillId="2" borderId="1" xfId="20" applyNumberFormat="1" applyFont="1" applyFill="1" applyBorder="1" applyAlignment="1" applyProtection="1">
      <alignment horizontal="center" vertical="center" wrapText="1"/>
      <protection hidden="1"/>
    </xf>
    <xf numFmtId="9" fontId="1" fillId="6" borderId="10" xfId="22" applyFont="1" applyFill="1" applyBorder="1" applyAlignment="1">
      <alignment horizontal="center" vertical="center" wrapText="1"/>
    </xf>
    <xf numFmtId="166" fontId="1" fillId="6" borderId="1" xfId="21" applyNumberFormat="1" applyFont="1" applyFill="1" applyBorder="1" applyAlignment="1" applyProtection="1">
      <alignment horizontal="center" vertical="center" wrapText="1"/>
      <protection hidden="1"/>
    </xf>
    <xf numFmtId="0" fontId="1" fillId="0" borderId="0" xfId="0" applyFont="1" applyFill="1" applyAlignment="1">
      <alignment horizontal="center" vertical="center" wrapText="1"/>
    </xf>
    <xf numFmtId="0" fontId="1" fillId="11" borderId="0" xfId="0" applyFont="1" applyFill="1" applyAlignment="1">
      <alignment horizontal="center" vertical="center" wrapText="1"/>
    </xf>
    <xf numFmtId="166" fontId="1" fillId="6" borderId="19" xfId="21" applyNumberFormat="1" applyFont="1" applyFill="1" applyBorder="1" applyAlignment="1" applyProtection="1">
      <alignment horizontal="center" vertical="center" wrapText="1"/>
      <protection hidden="1"/>
    </xf>
    <xf numFmtId="166" fontId="1" fillId="6" borderId="10" xfId="23" applyNumberFormat="1" applyFont="1" applyFill="1" applyBorder="1" applyAlignment="1" applyProtection="1">
      <alignment horizontal="center" vertical="center" wrapText="1"/>
      <protection hidden="1"/>
    </xf>
    <xf numFmtId="0" fontId="13"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center" wrapText="1"/>
    </xf>
    <xf numFmtId="9"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5" borderId="6" xfId="23" applyFont="1" applyFill="1" applyBorder="1" applyAlignment="1" applyProtection="1">
      <alignment horizontal="center" vertical="center" wrapText="1"/>
      <protection hidden="1"/>
    </xf>
    <xf numFmtId="0" fontId="18" fillId="6" borderId="6" xfId="23" applyFont="1" applyFill="1" applyBorder="1" applyAlignment="1" applyProtection="1">
      <alignment horizontal="center" vertical="center" wrapText="1"/>
      <protection hidden="1"/>
    </xf>
    <xf numFmtId="0" fontId="0" fillId="0" borderId="0" xfId="0" applyBorder="1" applyAlignment="1">
      <alignment horizontal="center" vertical="center"/>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5" borderId="54" xfId="23" applyFont="1" applyFill="1" applyBorder="1" applyAlignment="1" applyProtection="1">
      <alignment horizontal="center" vertical="center" wrapText="1"/>
      <protection hidden="1"/>
    </xf>
    <xf numFmtId="0" fontId="19" fillId="0" borderId="0" xfId="0" applyFont="1" applyBorder="1" applyAlignment="1">
      <alignment horizontal="center" vertical="center" wrapText="1"/>
    </xf>
    <xf numFmtId="0" fontId="18" fillId="5" borderId="1" xfId="23" applyFont="1" applyFill="1" applyBorder="1" applyAlignment="1" applyProtection="1">
      <alignment horizontal="center" vertical="center" wrapText="1"/>
      <protection hidden="1"/>
    </xf>
    <xf numFmtId="0" fontId="18" fillId="5" borderId="1" xfId="0" applyFont="1" applyFill="1" applyBorder="1" applyAlignment="1">
      <alignment horizontal="center" vertical="center" wrapText="1"/>
    </xf>
    <xf numFmtId="0" fontId="13" fillId="2" borderId="21" xfId="23" applyFont="1" applyFill="1" applyBorder="1" applyAlignment="1" applyProtection="1">
      <alignment horizontal="center" vertical="center" textRotation="90" wrapText="1"/>
      <protection hidden="1"/>
    </xf>
    <xf numFmtId="166" fontId="13" fillId="2" borderId="21" xfId="23" applyNumberFormat="1" applyFont="1" applyFill="1" applyBorder="1" applyAlignment="1" applyProtection="1">
      <alignment horizontal="center" vertical="center" wrapText="1"/>
      <protection hidden="1"/>
    </xf>
    <xf numFmtId="10" fontId="1" fillId="6" borderId="4" xfId="22" applyNumberFormat="1" applyFont="1" applyFill="1" applyBorder="1" applyAlignment="1" applyProtection="1">
      <alignment horizontal="center" vertical="center" wrapText="1"/>
      <protection hidden="1"/>
    </xf>
    <xf numFmtId="1" fontId="1" fillId="5" borderId="11" xfId="0" applyNumberFormat="1" applyFont="1" applyFill="1" applyBorder="1" applyAlignment="1">
      <alignment horizontal="center" vertical="center" wrapText="1"/>
    </xf>
    <xf numFmtId="166" fontId="1" fillId="6" borderId="29" xfId="23" applyNumberFormat="1" applyFont="1" applyFill="1" applyBorder="1" applyAlignment="1" applyProtection="1">
      <alignment horizontal="center" vertical="center" wrapText="1"/>
      <protection hidden="1"/>
    </xf>
    <xf numFmtId="166" fontId="17" fillId="7" borderId="9" xfId="0" applyNumberFormat="1" applyFont="1" applyFill="1" applyBorder="1" applyAlignment="1">
      <alignment horizontal="center" vertical="center" wrapText="1"/>
    </xf>
    <xf numFmtId="0" fontId="18" fillId="6" borderId="19" xfId="23" applyFont="1" applyFill="1" applyBorder="1" applyAlignment="1" applyProtection="1">
      <alignment horizontal="center" vertical="center" wrapText="1"/>
      <protection hidden="1"/>
    </xf>
    <xf numFmtId="0" fontId="18" fillId="6" borderId="5" xfId="23" applyFont="1" applyFill="1" applyBorder="1" applyAlignment="1" applyProtection="1" quotePrefix="1">
      <alignment horizontal="center" vertical="center" wrapText="1"/>
      <protection hidden="1"/>
    </xf>
    <xf numFmtId="0" fontId="18" fillId="6" borderId="21" xfId="23" applyFont="1" applyFill="1" applyBorder="1" applyAlignment="1" applyProtection="1" quotePrefix="1">
      <alignment horizontal="center" vertical="center" wrapText="1"/>
      <protection hidden="1"/>
    </xf>
    <xf numFmtId="44" fontId="19" fillId="6" borderId="21" xfId="21" applyFont="1" applyFill="1" applyBorder="1" applyAlignment="1" applyProtection="1">
      <alignment horizontal="center" vertical="center" wrapText="1"/>
      <protection hidden="1"/>
    </xf>
    <xf numFmtId="10" fontId="32" fillId="5" borderId="11" xfId="23" applyNumberFormat="1" applyFont="1" applyFill="1" applyBorder="1" applyAlignment="1" applyProtection="1">
      <alignment horizontal="center" vertical="center" wrapText="1"/>
      <protection hidden="1"/>
    </xf>
    <xf numFmtId="9" fontId="1" fillId="6" borderId="3" xfId="22" applyFont="1" applyFill="1" applyBorder="1" applyAlignment="1">
      <alignment horizontal="center" vertical="center" wrapText="1"/>
    </xf>
    <xf numFmtId="3" fontId="19" fillId="0" borderId="6" xfId="0" applyNumberFormat="1" applyFont="1" applyBorder="1" applyAlignment="1">
      <alignment horizontal="center" vertical="center" wrapText="1"/>
    </xf>
    <xf numFmtId="166" fontId="1" fillId="6" borderId="6" xfId="21" applyNumberFormat="1" applyFont="1" applyFill="1" applyBorder="1" applyAlignment="1" applyProtection="1">
      <alignment horizontal="center" vertical="center" wrapText="1"/>
      <protection hidden="1"/>
    </xf>
    <xf numFmtId="0" fontId="30" fillId="0" borderId="0" xfId="0" applyFont="1" applyBorder="1" applyAlignment="1">
      <alignment horizontal="center" vertical="center"/>
    </xf>
    <xf numFmtId="0" fontId="17" fillId="7" borderId="8" xfId="0" applyFont="1" applyFill="1" applyBorder="1" applyAlignment="1">
      <alignment vertical="center" wrapText="1"/>
    </xf>
    <xf numFmtId="3" fontId="13" fillId="2" borderId="20" xfId="0" applyNumberFormat="1" applyFont="1" applyFill="1" applyBorder="1" applyAlignment="1">
      <alignment horizontal="center" vertical="center" wrapText="1"/>
    </xf>
    <xf numFmtId="164" fontId="13" fillId="2" borderId="20" xfId="0" applyNumberFormat="1" applyFont="1" applyFill="1" applyBorder="1" applyAlignment="1">
      <alignment horizontal="center" vertical="center" wrapText="1"/>
    </xf>
    <xf numFmtId="3" fontId="13" fillId="2" borderId="15" xfId="0" applyNumberFormat="1" applyFont="1" applyFill="1" applyBorder="1" applyAlignment="1">
      <alignment horizontal="center" vertical="center" wrapText="1"/>
    </xf>
    <xf numFmtId="164" fontId="13" fillId="2" borderId="15" xfId="0" applyNumberFormat="1" applyFont="1" applyFill="1" applyBorder="1" applyAlignment="1">
      <alignment horizontal="center" vertical="center" wrapText="1"/>
    </xf>
    <xf numFmtId="0" fontId="18" fillId="5" borderId="55" xfId="0" applyFont="1" applyFill="1" applyBorder="1" applyAlignment="1">
      <alignment horizontal="center" vertical="center" wrapText="1"/>
    </xf>
    <xf numFmtId="14" fontId="1" fillId="0" borderId="11"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0" fontId="1" fillId="0" borderId="55" xfId="0" applyFont="1" applyFill="1" applyBorder="1" applyAlignment="1">
      <alignment horizontal="center" vertical="center" wrapText="1"/>
    </xf>
    <xf numFmtId="0" fontId="19" fillId="0" borderId="55" xfId="0" applyFont="1" applyFill="1" applyBorder="1" applyAlignment="1">
      <alignment horizontal="center" vertical="center" wrapText="1"/>
    </xf>
    <xf numFmtId="3" fontId="19" fillId="0" borderId="4" xfId="0" applyNumberFormat="1" applyFont="1" applyBorder="1" applyAlignment="1">
      <alignment horizontal="center" vertical="center" wrapText="1"/>
    </xf>
    <xf numFmtId="0" fontId="19" fillId="0" borderId="22"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56" xfId="0" applyFont="1" applyFill="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14" fontId="1" fillId="6" borderId="60" xfId="24" applyNumberFormat="1" applyFont="1" applyFill="1" applyBorder="1" applyAlignment="1">
      <alignment horizontal="center" vertical="center" wrapText="1"/>
    </xf>
    <xf numFmtId="0" fontId="1" fillId="5" borderId="59" xfId="23" applyFont="1" applyFill="1" applyBorder="1" applyAlignment="1" applyProtection="1">
      <alignment horizontal="center" vertical="center" wrapText="1"/>
      <protection hidden="1"/>
    </xf>
    <xf numFmtId="3" fontId="19" fillId="0" borderId="59" xfId="0" applyNumberFormat="1" applyFont="1" applyBorder="1" applyAlignment="1">
      <alignment horizontal="center" vertical="center" wrapText="1"/>
    </xf>
    <xf numFmtId="0" fontId="19" fillId="0" borderId="19" xfId="0" applyFont="1" applyFill="1" applyBorder="1" applyAlignment="1">
      <alignment horizontal="center" vertical="center" wrapText="1"/>
    </xf>
    <xf numFmtId="0" fontId="19" fillId="0" borderId="35" xfId="0" applyFont="1" applyFill="1" applyBorder="1" applyAlignment="1">
      <alignment horizontal="center" vertical="center" wrapText="1"/>
    </xf>
    <xf numFmtId="9" fontId="9" fillId="0" borderId="0" xfId="22" applyFont="1" applyAlignment="1">
      <alignment horizontal="center" vertical="center" wrapText="1"/>
    </xf>
    <xf numFmtId="166" fontId="9" fillId="0" borderId="0" xfId="0" applyNumberFormat="1" applyFont="1" applyAlignment="1">
      <alignment horizontal="center" vertical="center" wrapText="1"/>
    </xf>
    <xf numFmtId="9" fontId="9" fillId="0" borderId="0" xfId="22" applyFont="1" applyBorder="1" applyAlignment="1">
      <alignment horizontal="center" vertical="center" wrapText="1"/>
    </xf>
    <xf numFmtId="9" fontId="19" fillId="0" borderId="0" xfId="22" applyFont="1" applyBorder="1" applyAlignment="1">
      <alignment horizontal="center" vertical="center" wrapText="1"/>
    </xf>
    <xf numFmtId="166" fontId="19" fillId="0" borderId="0" xfId="0" applyNumberFormat="1" applyFont="1" applyBorder="1" applyAlignment="1">
      <alignment horizontal="center" vertical="center" wrapText="1"/>
    </xf>
    <xf numFmtId="9" fontId="13" fillId="2" borderId="11" xfId="22" applyFont="1" applyFill="1" applyBorder="1" applyAlignment="1" applyProtection="1">
      <alignment horizontal="center" vertical="center" wrapText="1"/>
      <protection hidden="1"/>
    </xf>
    <xf numFmtId="1" fontId="13" fillId="2" borderId="11" xfId="23" applyNumberFormat="1" applyFont="1" applyFill="1" applyBorder="1" applyAlignment="1" applyProtection="1">
      <alignment horizontal="center" vertical="center" textRotation="90" wrapText="1"/>
      <protection hidden="1"/>
    </xf>
    <xf numFmtId="166" fontId="13" fillId="2" borderId="11" xfId="23" applyNumberFormat="1" applyFont="1" applyFill="1" applyBorder="1" applyAlignment="1" applyProtection="1">
      <alignment horizontal="center" vertical="center" wrapText="1"/>
      <protection hidden="1"/>
    </xf>
    <xf numFmtId="0" fontId="1" fillId="0" borderId="35"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51" xfId="0" applyFont="1" applyFill="1" applyBorder="1" applyAlignment="1">
      <alignment horizontal="center" vertical="center" wrapText="1"/>
    </xf>
    <xf numFmtId="0" fontId="1" fillId="5" borderId="30" xfId="23" applyFont="1" applyFill="1" applyBorder="1" applyAlignment="1" applyProtection="1">
      <alignment horizontal="center" vertical="center" wrapText="1"/>
      <protection hidden="1"/>
    </xf>
    <xf numFmtId="1" fontId="19" fillId="5" borderId="9" xfId="0" applyNumberFormat="1" applyFont="1" applyFill="1" applyBorder="1" applyAlignment="1">
      <alignment horizontal="center" vertical="center" wrapText="1"/>
    </xf>
    <xf numFmtId="0" fontId="1" fillId="0" borderId="16" xfId="0" applyFont="1" applyBorder="1" applyAlignment="1">
      <alignment horizontal="center" vertical="center" wrapText="1"/>
    </xf>
    <xf numFmtId="3" fontId="1" fillId="5" borderId="14" xfId="0" applyNumberFormat="1" applyFont="1" applyFill="1" applyBorder="1" applyAlignment="1">
      <alignment horizontal="center" vertical="center" wrapText="1"/>
    </xf>
    <xf numFmtId="1" fontId="1" fillId="5" borderId="14" xfId="0" applyNumberFormat="1" applyFont="1" applyFill="1" applyBorder="1" applyAlignment="1">
      <alignment horizontal="center" vertical="center" wrapText="1"/>
    </xf>
    <xf numFmtId="1" fontId="1" fillId="0" borderId="14" xfId="20" applyNumberFormat="1" applyFont="1" applyBorder="1" applyAlignment="1">
      <alignment horizontal="center" vertical="center" wrapText="1"/>
    </xf>
    <xf numFmtId="9" fontId="19" fillId="0" borderId="11" xfId="22" applyFont="1" applyBorder="1" applyAlignment="1">
      <alignment horizontal="center" vertical="center" wrapText="1"/>
    </xf>
    <xf numFmtId="9" fontId="13" fillId="2" borderId="4" xfId="22" applyFont="1" applyFill="1" applyBorder="1" applyAlignment="1" applyProtection="1">
      <alignment horizontal="center" vertical="center" wrapText="1"/>
      <protection hidden="1"/>
    </xf>
    <xf numFmtId="1" fontId="13" fillId="2" borderId="4" xfId="23" applyNumberFormat="1" applyFont="1" applyFill="1" applyBorder="1" applyAlignment="1" applyProtection="1">
      <alignment horizontal="center" vertical="center" textRotation="90" wrapText="1"/>
      <protection hidden="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52" xfId="0" applyFont="1" applyFill="1" applyBorder="1" applyAlignment="1">
      <alignment horizontal="center" vertical="center" wrapText="1"/>
    </xf>
    <xf numFmtId="1" fontId="1" fillId="5" borderId="29" xfId="22" applyNumberFormat="1" applyFont="1" applyFill="1" applyBorder="1" applyAlignment="1">
      <alignment horizontal="center" vertical="center" wrapText="1"/>
    </xf>
    <xf numFmtId="1" fontId="1" fillId="0" borderId="38" xfId="20" applyNumberFormat="1" applyFont="1" applyBorder="1" applyAlignment="1">
      <alignment horizontal="center" vertical="center" wrapText="1"/>
    </xf>
    <xf numFmtId="14" fontId="19" fillId="6" borderId="39" xfId="23" applyNumberFormat="1" applyFont="1" applyFill="1" applyBorder="1" applyAlignment="1" applyProtection="1">
      <alignment horizontal="center" vertical="center" wrapText="1"/>
      <protection hidden="1"/>
    </xf>
    <xf numFmtId="1" fontId="19" fillId="5" borderId="14" xfId="0" applyNumberFormat="1" applyFont="1" applyFill="1" applyBorder="1" applyAlignment="1">
      <alignment horizontal="center" vertical="center" wrapText="1"/>
    </xf>
    <xf numFmtId="1" fontId="19" fillId="0" borderId="52" xfId="20" applyNumberFormat="1" applyFont="1" applyBorder="1" applyAlignment="1">
      <alignment horizontal="center" vertical="center" wrapText="1"/>
    </xf>
    <xf numFmtId="0" fontId="19" fillId="6" borderId="3" xfId="23" applyFont="1" applyFill="1" applyBorder="1" applyAlignment="1" applyProtection="1">
      <alignment horizontal="center" vertical="center" wrapText="1"/>
      <protection hidden="1"/>
    </xf>
    <xf numFmtId="0" fontId="19" fillId="5" borderId="36" xfId="23" applyFont="1" applyFill="1" applyBorder="1" applyAlignment="1" applyProtection="1">
      <alignment horizontal="center" vertical="center" wrapText="1"/>
      <protection hidden="1"/>
    </xf>
    <xf numFmtId="0" fontId="19" fillId="5" borderId="41" xfId="23" applyFont="1" applyFill="1" applyBorder="1" applyAlignment="1" applyProtection="1">
      <alignment horizontal="center" vertical="center" wrapText="1"/>
      <protection hidden="1"/>
    </xf>
    <xf numFmtId="1" fontId="19" fillId="5" borderId="36" xfId="0" applyNumberFormat="1" applyFont="1" applyFill="1" applyBorder="1" applyAlignment="1">
      <alignment horizontal="center" vertical="center" wrapText="1"/>
    </xf>
    <xf numFmtId="1" fontId="19" fillId="0" borderId="41" xfId="20" applyNumberFormat="1" applyFont="1" applyBorder="1" applyAlignment="1">
      <alignment horizontal="center" vertical="center" wrapText="1"/>
    </xf>
    <xf numFmtId="14" fontId="1" fillId="6" borderId="4" xfId="23" applyNumberFormat="1" applyFont="1" applyFill="1" applyBorder="1" applyAlignment="1" applyProtection="1">
      <alignment horizontal="center" vertical="center" wrapText="1"/>
      <protection hidden="1"/>
    </xf>
    <xf numFmtId="1" fontId="1" fillId="0" borderId="4" xfId="20" applyNumberFormat="1" applyFont="1" applyBorder="1" applyAlignment="1">
      <alignment horizontal="center" vertical="center" wrapText="1"/>
    </xf>
    <xf numFmtId="9" fontId="13" fillId="2" borderId="21" xfId="22" applyFont="1" applyFill="1" applyBorder="1" applyAlignment="1" applyProtection="1">
      <alignment horizontal="center" vertical="center" wrapText="1"/>
      <protection hidden="1"/>
    </xf>
    <xf numFmtId="1" fontId="13" fillId="2" borderId="21" xfId="23" applyNumberFormat="1" applyFont="1" applyFill="1" applyBorder="1" applyAlignment="1" applyProtection="1">
      <alignment horizontal="center" vertical="center" textRotation="90" wrapText="1"/>
      <protection hidden="1"/>
    </xf>
    <xf numFmtId="1" fontId="13" fillId="2" borderId="21" xfId="23" applyNumberFormat="1" applyFont="1" applyFill="1" applyBorder="1" applyAlignment="1" applyProtection="1">
      <alignment horizontal="center" vertical="center" wrapText="1"/>
      <protection hidden="1"/>
    </xf>
    <xf numFmtId="9" fontId="9" fillId="10" borderId="15" xfId="22" applyFont="1" applyFill="1" applyBorder="1" applyAlignment="1">
      <alignment horizontal="center" vertical="center" wrapText="1"/>
    </xf>
    <xf numFmtId="9" fontId="0" fillId="0" borderId="0" xfId="22" applyFont="1" applyAlignment="1">
      <alignment horizontal="center" vertical="center"/>
    </xf>
    <xf numFmtId="166" fontId="0" fillId="0" borderId="0" xfId="0" applyNumberFormat="1" applyAlignment="1">
      <alignment horizontal="center" vertical="center"/>
    </xf>
    <xf numFmtId="9" fontId="1" fillId="5" borderId="4" xfId="22" applyFont="1" applyFill="1" applyBorder="1" applyAlignment="1" applyProtection="1">
      <alignment horizontal="center" vertical="center" wrapText="1"/>
      <protection hidden="1"/>
    </xf>
    <xf numFmtId="9" fontId="32" fillId="5" borderId="4" xfId="22" applyFont="1" applyFill="1" applyBorder="1" applyAlignment="1" applyProtection="1">
      <alignment horizontal="center" vertical="center" wrapText="1"/>
      <protection hidden="1"/>
    </xf>
    <xf numFmtId="0" fontId="32" fillId="5" borderId="4" xfId="23" applyNumberFormat="1" applyFont="1" applyFill="1" applyBorder="1" applyAlignment="1" applyProtection="1">
      <alignment horizontal="center" vertical="center" wrapText="1"/>
      <protection hidden="1"/>
    </xf>
    <xf numFmtId="9" fontId="1" fillId="5" borderId="11" xfId="22" applyFont="1" applyFill="1" applyBorder="1" applyAlignment="1" applyProtection="1">
      <alignment horizontal="center" vertical="center" wrapText="1"/>
      <protection hidden="1"/>
    </xf>
    <xf numFmtId="0" fontId="19" fillId="5" borderId="14" xfId="22" applyNumberFormat="1" applyFont="1" applyFill="1" applyBorder="1" applyAlignment="1">
      <alignment horizontal="center" vertical="center" wrapText="1"/>
    </xf>
    <xf numFmtId="9" fontId="34" fillId="5" borderId="14" xfId="22" applyFont="1" applyFill="1" applyBorder="1" applyAlignment="1">
      <alignment horizontal="center" vertical="center" wrapText="1"/>
    </xf>
    <xf numFmtId="1" fontId="19" fillId="5" borderId="17" xfId="22" applyNumberFormat="1" applyFont="1" applyFill="1" applyBorder="1" applyAlignment="1">
      <alignment horizontal="center" vertical="center" wrapText="1"/>
    </xf>
    <xf numFmtId="9" fontId="19" fillId="5" borderId="4" xfId="22" applyFont="1" applyFill="1" applyBorder="1" applyAlignment="1">
      <alignment horizontal="center" vertical="center" wrapText="1"/>
    </xf>
    <xf numFmtId="9" fontId="19" fillId="5" borderId="17" xfId="22" applyFont="1" applyFill="1" applyBorder="1" applyAlignment="1">
      <alignment horizontal="center" vertical="center" wrapText="1"/>
    </xf>
    <xf numFmtId="9" fontId="19" fillId="5" borderId="18" xfId="22" applyFont="1" applyFill="1" applyBorder="1" applyAlignment="1">
      <alignment horizontal="center" vertical="center" wrapText="1"/>
    </xf>
    <xf numFmtId="9" fontId="19" fillId="5" borderId="4" xfId="22" applyFont="1" applyFill="1" applyBorder="1" applyAlignment="1" applyProtection="1">
      <alignment horizontal="center" vertical="center" wrapText="1"/>
      <protection hidden="1"/>
    </xf>
    <xf numFmtId="9" fontId="35" fillId="0" borderId="11" xfId="22" applyFont="1" applyBorder="1" applyAlignment="1">
      <alignment horizontal="center" vertical="center" wrapText="1"/>
    </xf>
    <xf numFmtId="14" fontId="19" fillId="0" borderId="4" xfId="0" applyNumberFormat="1" applyFont="1" applyBorder="1" applyAlignment="1">
      <alignment horizontal="center" vertical="center" wrapText="1"/>
    </xf>
    <xf numFmtId="9" fontId="31" fillId="5" borderId="4" xfId="22" applyFont="1" applyFill="1" applyBorder="1" applyAlignment="1" applyProtection="1">
      <alignment horizontal="center" vertical="center" wrapText="1"/>
      <protection hidden="1"/>
    </xf>
    <xf numFmtId="14" fontId="19" fillId="0" borderId="11" xfId="0" applyNumberFormat="1" applyFont="1" applyBorder="1" applyAlignment="1">
      <alignment horizontal="center" vertical="center" wrapText="1"/>
    </xf>
    <xf numFmtId="0" fontId="1" fillId="5" borderId="11" xfId="23" applyNumberFormat="1" applyFont="1" applyFill="1" applyBorder="1" applyAlignment="1" applyProtection="1">
      <alignment horizontal="center" vertical="center" wrapText="1"/>
      <protection hidden="1"/>
    </xf>
    <xf numFmtId="0" fontId="1" fillId="6" borderId="45" xfId="23" applyFont="1" applyFill="1" applyBorder="1" applyAlignment="1" applyProtection="1">
      <alignment horizontal="center" vertical="center" wrapText="1"/>
      <protection hidden="1"/>
    </xf>
    <xf numFmtId="1" fontId="1" fillId="6" borderId="61" xfId="20" applyNumberFormat="1" applyFont="1" applyFill="1" applyBorder="1" applyAlignment="1" applyProtection="1">
      <alignment horizontal="center" vertical="center" wrapText="1"/>
      <protection hidden="1"/>
    </xf>
    <xf numFmtId="14" fontId="1" fillId="6" borderId="36" xfId="23" applyNumberFormat="1" applyFont="1" applyFill="1" applyBorder="1" applyAlignment="1" applyProtection="1">
      <alignment horizontal="center" vertical="center" wrapText="1"/>
      <protection hidden="1"/>
    </xf>
    <xf numFmtId="14" fontId="1" fillId="6" borderId="36" xfId="24" applyNumberFormat="1" applyFont="1" applyFill="1" applyBorder="1" applyAlignment="1">
      <alignment horizontal="center" vertical="center" wrapText="1"/>
    </xf>
    <xf numFmtId="9" fontId="1" fillId="5" borderId="36" xfId="22" applyFont="1" applyFill="1" applyBorder="1" applyAlignment="1" applyProtection="1">
      <alignment horizontal="center" vertical="center" wrapText="1"/>
      <protection hidden="1"/>
    </xf>
    <xf numFmtId="0" fontId="1" fillId="0" borderId="51" xfId="0" applyFont="1" applyBorder="1" applyAlignment="1">
      <alignment horizontal="center" vertical="center" wrapText="1"/>
    </xf>
    <xf numFmtId="166" fontId="1" fillId="6" borderId="36" xfId="23" applyNumberFormat="1" applyFont="1" applyFill="1" applyBorder="1" applyAlignment="1" applyProtection="1">
      <alignment horizontal="center" vertical="center" wrapText="1"/>
      <protection hidden="1"/>
    </xf>
    <xf numFmtId="14" fontId="1" fillId="6" borderId="14" xfId="23" applyNumberFormat="1" applyFont="1" applyFill="1" applyBorder="1" applyAlignment="1" applyProtection="1">
      <alignment horizontal="center" vertical="center" wrapText="1"/>
      <protection hidden="1"/>
    </xf>
    <xf numFmtId="9" fontId="1" fillId="5" borderId="14" xfId="22" applyFont="1" applyFill="1" applyBorder="1" applyAlignment="1" applyProtection="1">
      <alignment horizontal="center" vertical="center" wrapText="1"/>
      <protection hidden="1"/>
    </xf>
    <xf numFmtId="0" fontId="1" fillId="6" borderId="35" xfId="23" applyFont="1" applyFill="1" applyBorder="1" applyAlignment="1" applyProtection="1">
      <alignment horizontal="center" vertical="center" wrapText="1"/>
      <protection hidden="1"/>
    </xf>
    <xf numFmtId="0" fontId="19" fillId="6" borderId="16" xfId="23" applyFont="1" applyFill="1" applyBorder="1" applyAlignment="1" applyProtection="1">
      <alignment horizontal="center" vertical="center" wrapText="1"/>
      <protection hidden="1"/>
    </xf>
    <xf numFmtId="0" fontId="4" fillId="0" borderId="0" xfId="0" applyFont="1" applyBorder="1" applyAlignment="1">
      <alignment vertical="center"/>
    </xf>
    <xf numFmtId="0" fontId="6" fillId="0" borderId="0" xfId="0" applyFont="1" applyBorder="1" applyAlignment="1">
      <alignment vertical="center"/>
    </xf>
    <xf numFmtId="0" fontId="0" fillId="0" borderId="62" xfId="0" applyBorder="1"/>
    <xf numFmtId="0" fontId="0" fillId="0" borderId="0" xfId="0" applyBorder="1"/>
    <xf numFmtId="0" fontId="0" fillId="0" borderId="54" xfId="0" applyBorder="1"/>
    <xf numFmtId="0" fontId="0" fillId="0" borderId="63" xfId="0" applyBorder="1"/>
    <xf numFmtId="44" fontId="0" fillId="0" borderId="63" xfId="21" applyFont="1" applyBorder="1"/>
    <xf numFmtId="44" fontId="0" fillId="0" borderId="64" xfId="21" applyFont="1" applyBorder="1"/>
    <xf numFmtId="0" fontId="0" fillId="0" borderId="31" xfId="0" applyBorder="1"/>
    <xf numFmtId="0" fontId="0" fillId="0" borderId="15" xfId="0" applyBorder="1"/>
    <xf numFmtId="0" fontId="0" fillId="0" borderId="35" xfId="0" applyBorder="1"/>
    <xf numFmtId="0" fontId="2" fillId="2" borderId="0" xfId="0" applyFont="1" applyFill="1" applyBorder="1" applyAlignment="1">
      <alignment horizontal="center" vertical="center" wrapText="1"/>
    </xf>
    <xf numFmtId="0" fontId="2" fillId="2" borderId="54" xfId="0" applyFont="1" applyFill="1" applyBorder="1" applyAlignment="1">
      <alignment horizontal="center" vertical="center" wrapText="1"/>
    </xf>
    <xf numFmtId="44" fontId="0" fillId="0" borderId="63" xfId="21" applyFont="1" applyBorder="1"/>
    <xf numFmtId="44" fontId="0" fillId="0" borderId="63" xfId="21" applyFont="1" applyBorder="1" applyAlignment="1">
      <alignment horizontal="center"/>
    </xf>
    <xf numFmtId="44" fontId="0" fillId="0" borderId="65" xfId="21" applyFont="1" applyBorder="1"/>
    <xf numFmtId="0" fontId="18" fillId="5" borderId="19" xfId="23" applyFont="1" applyFill="1" applyBorder="1" applyAlignment="1" applyProtection="1">
      <alignment horizontal="center" vertical="center" wrapText="1"/>
      <protection hidden="1"/>
    </xf>
    <xf numFmtId="0" fontId="15" fillId="0" borderId="0" xfId="0" applyFont="1" applyAlignment="1">
      <alignment horizontal="center" vertical="center" wrapText="1"/>
    </xf>
    <xf numFmtId="0" fontId="18" fillId="5" borderId="55" xfId="23" applyFont="1" applyFill="1" applyBorder="1" applyAlignment="1" applyProtection="1" quotePrefix="1">
      <alignment horizontal="center" vertical="center" wrapText="1"/>
      <protection hidden="1"/>
    </xf>
    <xf numFmtId="166" fontId="1" fillId="6" borderId="4" xfId="23" applyNumberFormat="1" applyFont="1" applyFill="1" applyBorder="1" applyAlignment="1" applyProtection="1">
      <alignment horizontal="center" vertical="center" wrapText="1"/>
      <protection hidden="1"/>
    </xf>
    <xf numFmtId="166" fontId="1" fillId="6" borderId="14" xfId="23" applyNumberFormat="1" applyFont="1" applyFill="1" applyBorder="1" applyAlignment="1" applyProtection="1">
      <alignment horizontal="center" vertical="center" wrapText="1"/>
      <protection hidden="1"/>
    </xf>
    <xf numFmtId="0" fontId="1" fillId="6" borderId="5" xfId="23" applyFont="1" applyFill="1" applyBorder="1" applyAlignment="1" applyProtection="1">
      <alignment horizontal="center" vertical="center" wrapText="1"/>
      <protection hidden="1"/>
    </xf>
    <xf numFmtId="0" fontId="1" fillId="6" borderId="27" xfId="23" applyFont="1" applyFill="1" applyBorder="1" applyAlignment="1" applyProtection="1">
      <alignment horizontal="center" vertical="center" wrapText="1"/>
      <protection hidden="1"/>
    </xf>
    <xf numFmtId="0" fontId="1" fillId="0" borderId="6" xfId="0" applyFont="1" applyFill="1" applyBorder="1" applyAlignment="1">
      <alignment horizontal="center" vertical="center" wrapText="1"/>
    </xf>
    <xf numFmtId="0" fontId="39" fillId="3" borderId="1" xfId="23" applyFont="1" applyFill="1" applyBorder="1" applyAlignment="1" applyProtection="1">
      <alignment horizontal="center" vertical="center" wrapText="1"/>
      <protection hidden="1"/>
    </xf>
    <xf numFmtId="0" fontId="39" fillId="4" borderId="1" xfId="23" applyFont="1" applyFill="1" applyBorder="1" applyAlignment="1" applyProtection="1">
      <alignment horizontal="center" vertical="center" wrapText="1"/>
      <protection hidden="1"/>
    </xf>
    <xf numFmtId="0" fontId="39" fillId="8" borderId="1" xfId="23" applyFont="1" applyFill="1" applyBorder="1" applyAlignment="1" applyProtection="1">
      <alignment horizontal="center" vertical="center" wrapText="1"/>
      <protection hidden="1"/>
    </xf>
    <xf numFmtId="0" fontId="32" fillId="4" borderId="11" xfId="23" applyFont="1" applyFill="1" applyBorder="1" applyAlignment="1" applyProtection="1">
      <alignment horizontal="center" vertical="center" wrapText="1"/>
      <protection locked="0"/>
    </xf>
    <xf numFmtId="0" fontId="32" fillId="8" borderId="11" xfId="23" applyFont="1" applyFill="1" applyBorder="1" applyAlignment="1" applyProtection="1">
      <alignment horizontal="center" vertical="center" wrapText="1"/>
      <protection locked="0"/>
    </xf>
    <xf numFmtId="0" fontId="32" fillId="12" borderId="11" xfId="23" applyFont="1" applyFill="1" applyBorder="1" applyAlignment="1" applyProtection="1">
      <alignment horizontal="center" vertical="center" wrapText="1"/>
      <protection locked="0"/>
    </xf>
    <xf numFmtId="0" fontId="32" fillId="13" borderId="11" xfId="23" applyFont="1" applyFill="1" applyBorder="1" applyAlignment="1" applyProtection="1">
      <alignment horizontal="center" vertical="center" wrapText="1"/>
      <protection locked="0"/>
    </xf>
    <xf numFmtId="0" fontId="32" fillId="14" borderId="11" xfId="23" applyFont="1" applyFill="1" applyBorder="1" applyAlignment="1" applyProtection="1">
      <alignment horizontal="center" vertical="center" wrapText="1"/>
      <protection locked="0"/>
    </xf>
    <xf numFmtId="0" fontId="41" fillId="15" borderId="66" xfId="28" applyNumberFormat="1" applyFont="1" applyFill="1" applyBorder="1" applyAlignment="1" applyProtection="1">
      <alignment horizontal="center" vertical="center" wrapText="1"/>
      <protection/>
    </xf>
    <xf numFmtId="9" fontId="41" fillId="15" borderId="66" xfId="28" applyNumberFormat="1" applyFont="1" applyFill="1" applyBorder="1" applyAlignment="1">
      <alignment horizontal="center" vertical="center" wrapText="1"/>
      <protection/>
    </xf>
    <xf numFmtId="9" fontId="42" fillId="3" borderId="1" xfId="0" applyNumberFormat="1" applyFont="1" applyFill="1" applyBorder="1" applyAlignment="1" applyProtection="1">
      <alignment horizontal="center" vertical="center" wrapText="1"/>
      <protection locked="0"/>
    </xf>
    <xf numFmtId="9" fontId="42" fillId="3" borderId="1" xfId="0" applyNumberFormat="1" applyFont="1" applyFill="1" applyBorder="1" applyAlignment="1" applyProtection="1">
      <alignment horizontal="center" vertical="center" wrapText="1"/>
      <protection/>
    </xf>
    <xf numFmtId="0" fontId="31" fillId="8" borderId="1" xfId="0" applyFont="1" applyFill="1" applyBorder="1" applyAlignment="1">
      <alignment horizontal="center" vertical="center" wrapText="1"/>
    </xf>
    <xf numFmtId="0" fontId="32" fillId="4" borderId="4" xfId="23" applyFont="1" applyFill="1" applyBorder="1" applyAlignment="1" applyProtection="1">
      <alignment horizontal="center" vertical="center" wrapText="1"/>
      <protection locked="0"/>
    </xf>
    <xf numFmtId="0" fontId="32" fillId="8" borderId="4" xfId="23" applyFont="1" applyFill="1" applyBorder="1" applyAlignment="1" applyProtection="1">
      <alignment horizontal="center" vertical="center" wrapText="1"/>
      <protection locked="0"/>
    </xf>
    <xf numFmtId="0" fontId="32" fillId="12" borderId="4" xfId="23" applyFont="1" applyFill="1" applyBorder="1" applyAlignment="1" applyProtection="1">
      <alignment horizontal="center" vertical="center" wrapText="1"/>
      <protection locked="0"/>
    </xf>
    <xf numFmtId="0" fontId="32" fillId="13" borderId="4" xfId="23" applyFont="1" applyFill="1" applyBorder="1" applyAlignment="1" applyProtection="1">
      <alignment horizontal="center" vertical="center" wrapText="1"/>
      <protection locked="0"/>
    </xf>
    <xf numFmtId="0" fontId="32" fillId="14" borderId="4" xfId="23" applyFont="1" applyFill="1" applyBorder="1" applyAlignment="1" applyProtection="1">
      <alignment horizontal="center" vertical="center" wrapText="1"/>
      <protection locked="0"/>
    </xf>
    <xf numFmtId="0" fontId="32" fillId="4" borderId="4" xfId="23" applyNumberFormat="1" applyFont="1" applyFill="1" applyBorder="1" applyAlignment="1" applyProtection="1">
      <alignment horizontal="center" vertical="center" wrapText="1"/>
      <protection locked="0"/>
    </xf>
    <xf numFmtId="9" fontId="41" fillId="15" borderId="66" xfId="28" applyNumberFormat="1" applyFont="1" applyFill="1" applyBorder="1" applyAlignment="1" applyProtection="1">
      <alignment horizontal="center" vertical="center" wrapText="1"/>
      <protection/>
    </xf>
    <xf numFmtId="9" fontId="32" fillId="4" borderId="4" xfId="22" applyFont="1" applyFill="1" applyBorder="1" applyAlignment="1" applyProtection="1">
      <alignment horizontal="center" vertical="center" wrapText="1"/>
      <protection locked="0"/>
    </xf>
    <xf numFmtId="0" fontId="42" fillId="3" borderId="1" xfId="0" applyNumberFormat="1" applyFont="1" applyFill="1" applyBorder="1" applyAlignment="1">
      <alignment horizontal="center" vertical="center" wrapText="1"/>
    </xf>
    <xf numFmtId="0" fontId="44" fillId="7" borderId="20" xfId="0" applyFont="1" applyFill="1" applyBorder="1" applyAlignment="1" applyProtection="1">
      <alignment horizontal="center" vertical="center" wrapText="1"/>
      <protection locked="0"/>
    </xf>
    <xf numFmtId="0" fontId="43" fillId="7" borderId="1" xfId="0" applyFont="1" applyFill="1" applyBorder="1" applyAlignment="1">
      <alignment horizontal="center" vertical="center" wrapText="1"/>
    </xf>
    <xf numFmtId="0" fontId="43" fillId="7" borderId="1" xfId="0" applyFont="1" applyFill="1" applyBorder="1" applyAlignment="1" applyProtection="1">
      <alignment horizontal="center" vertical="center" wrapText="1"/>
      <protection locked="0"/>
    </xf>
    <xf numFmtId="0" fontId="43" fillId="7" borderId="1" xfId="0" applyFont="1" applyFill="1" applyBorder="1" applyAlignment="1" applyProtection="1">
      <alignment horizontal="center" vertical="center" wrapText="1"/>
      <protection/>
    </xf>
    <xf numFmtId="0" fontId="18" fillId="5" borderId="2" xfId="0" applyFont="1" applyFill="1" applyBorder="1" applyAlignment="1">
      <alignment horizontal="center" vertical="center" wrapText="1"/>
    </xf>
    <xf numFmtId="9" fontId="32" fillId="4" borderId="11" xfId="22" applyFont="1" applyFill="1" applyBorder="1" applyAlignment="1" applyProtection="1">
      <alignment horizontal="center" vertical="center" wrapText="1"/>
      <protection locked="0"/>
    </xf>
    <xf numFmtId="9" fontId="32" fillId="8" borderId="11" xfId="22" applyFont="1" applyFill="1" applyBorder="1" applyAlignment="1" applyProtection="1">
      <alignment horizontal="center" vertical="center" wrapText="1"/>
      <protection locked="0"/>
    </xf>
    <xf numFmtId="9" fontId="32" fillId="12" borderId="11" xfId="22" applyFont="1" applyFill="1" applyBorder="1" applyAlignment="1" applyProtection="1">
      <alignment horizontal="center" vertical="center" wrapText="1"/>
      <protection locked="0"/>
    </xf>
    <xf numFmtId="9" fontId="32" fillId="13" borderId="11" xfId="22" applyFont="1" applyFill="1" applyBorder="1" applyAlignment="1" applyProtection="1">
      <alignment horizontal="center" vertical="center" wrapText="1"/>
      <protection locked="0"/>
    </xf>
    <xf numFmtId="9" fontId="32" fillId="14" borderId="11" xfId="22" applyFont="1" applyFill="1" applyBorder="1" applyAlignment="1" applyProtection="1">
      <alignment horizontal="center" vertical="center" wrapText="1"/>
      <protection locked="0"/>
    </xf>
    <xf numFmtId="9" fontId="42" fillId="3" borderId="1" xfId="22" applyFont="1" applyFill="1" applyBorder="1" applyAlignment="1">
      <alignment horizontal="center" vertical="center" wrapText="1"/>
    </xf>
    <xf numFmtId="0" fontId="19" fillId="16" borderId="55" xfId="0" applyFont="1" applyFill="1" applyBorder="1" applyAlignment="1">
      <alignment horizontal="center" vertical="center" wrapText="1"/>
    </xf>
    <xf numFmtId="9" fontId="32" fillId="4" borderId="15" xfId="22" applyFont="1" applyFill="1" applyBorder="1" applyAlignment="1" applyProtection="1">
      <alignment horizontal="center" vertical="center" wrapText="1"/>
      <protection locked="0"/>
    </xf>
    <xf numFmtId="9" fontId="32" fillId="8" borderId="15" xfId="22" applyFont="1" applyFill="1" applyBorder="1" applyAlignment="1" applyProtection="1">
      <alignment horizontal="center" vertical="center" wrapText="1"/>
      <protection locked="0"/>
    </xf>
    <xf numFmtId="9" fontId="32" fillId="12" borderId="15" xfId="22" applyFont="1" applyFill="1" applyBorder="1" applyAlignment="1" applyProtection="1">
      <alignment horizontal="center" vertical="center" wrapText="1"/>
      <protection locked="0"/>
    </xf>
    <xf numFmtId="9" fontId="32" fillId="13" borderId="15" xfId="22" applyFont="1" applyFill="1" applyBorder="1" applyAlignment="1" applyProtection="1">
      <alignment horizontal="center" vertical="center" wrapText="1"/>
      <protection locked="0"/>
    </xf>
    <xf numFmtId="9" fontId="32" fillId="14" borderId="15" xfId="22" applyFont="1" applyFill="1" applyBorder="1" applyAlignment="1" applyProtection="1">
      <alignment horizontal="center" vertical="center" wrapText="1"/>
      <protection locked="0"/>
    </xf>
    <xf numFmtId="0" fontId="39" fillId="2" borderId="1" xfId="0" applyFont="1" applyFill="1" applyBorder="1" applyAlignment="1">
      <alignment horizontal="center" vertical="center" wrapText="1"/>
    </xf>
    <xf numFmtId="0" fontId="39" fillId="2" borderId="1" xfId="0" applyFont="1" applyFill="1" applyBorder="1" applyAlignment="1" applyProtection="1">
      <alignment horizontal="center" vertical="center" wrapText="1"/>
      <protection locked="0"/>
    </xf>
    <xf numFmtId="0" fontId="35" fillId="0"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13" fillId="2" borderId="55" xfId="23" applyFont="1" applyFill="1" applyBorder="1" applyAlignment="1" applyProtection="1">
      <alignment horizontal="center" vertical="center" wrapText="1"/>
      <protection hidden="1"/>
    </xf>
    <xf numFmtId="9" fontId="24" fillId="5" borderId="14" xfId="22" applyFont="1" applyFill="1" applyBorder="1" applyAlignment="1">
      <alignment horizontal="center" vertical="center" wrapText="1"/>
    </xf>
    <xf numFmtId="9" fontId="1" fillId="5" borderId="14" xfId="22" applyFont="1" applyFill="1" applyBorder="1" applyAlignment="1">
      <alignment horizontal="center" vertical="center" wrapText="1"/>
    </xf>
    <xf numFmtId="9" fontId="32" fillId="4" borderId="14" xfId="22" applyFont="1" applyFill="1" applyBorder="1" applyAlignment="1" applyProtection="1">
      <alignment horizontal="center" vertical="center" wrapText="1"/>
      <protection locked="0"/>
    </xf>
    <xf numFmtId="9" fontId="32" fillId="8" borderId="14" xfId="22" applyFont="1" applyFill="1" applyBorder="1" applyAlignment="1" applyProtection="1">
      <alignment horizontal="center" vertical="center" wrapText="1"/>
      <protection locked="0"/>
    </xf>
    <xf numFmtId="9" fontId="32" fillId="12" borderId="14" xfId="22" applyFont="1" applyFill="1" applyBorder="1" applyAlignment="1" applyProtection="1">
      <alignment horizontal="center" vertical="center" wrapText="1"/>
      <protection locked="0"/>
    </xf>
    <xf numFmtId="9" fontId="32" fillId="13" borderId="14" xfId="22" applyFont="1" applyFill="1" applyBorder="1" applyAlignment="1" applyProtection="1">
      <alignment horizontal="center" vertical="center" wrapText="1"/>
      <protection locked="0"/>
    </xf>
    <xf numFmtId="9" fontId="32" fillId="14" borderId="14" xfId="22" applyFont="1" applyFill="1" applyBorder="1" applyAlignment="1" applyProtection="1">
      <alignment horizontal="center" vertical="center" wrapText="1"/>
      <protection locked="0"/>
    </xf>
    <xf numFmtId="0" fontId="42" fillId="3" borderId="1" xfId="0" applyFont="1" applyFill="1" applyBorder="1" applyAlignment="1" applyProtection="1">
      <alignment horizontal="center" vertical="center" wrapText="1"/>
      <protection locked="0"/>
    </xf>
    <xf numFmtId="0" fontId="32" fillId="4" borderId="11" xfId="0" applyNumberFormat="1" applyFont="1" applyFill="1" applyBorder="1" applyAlignment="1" applyProtection="1">
      <alignment horizontal="center" vertical="center" wrapText="1"/>
      <protection locked="0"/>
    </xf>
    <xf numFmtId="0" fontId="32" fillId="8" borderId="11" xfId="0" applyNumberFormat="1" applyFont="1" applyFill="1" applyBorder="1" applyAlignment="1" applyProtection="1">
      <alignment horizontal="center" vertical="center" wrapText="1"/>
      <protection locked="0"/>
    </xf>
    <xf numFmtId="1" fontId="32" fillId="8" borderId="11" xfId="22" applyNumberFormat="1" applyFont="1" applyFill="1" applyBorder="1" applyAlignment="1" applyProtection="1">
      <alignment horizontal="center" vertical="center" wrapText="1"/>
      <protection locked="0"/>
    </xf>
    <xf numFmtId="1" fontId="32" fillId="12" borderId="11" xfId="22" applyNumberFormat="1" applyFont="1" applyFill="1" applyBorder="1" applyAlignment="1" applyProtection="1">
      <alignment horizontal="center" vertical="center" wrapText="1"/>
      <protection locked="0"/>
    </xf>
    <xf numFmtId="0" fontId="32" fillId="12" borderId="11" xfId="0" applyNumberFormat="1" applyFont="1" applyFill="1" applyBorder="1" applyAlignment="1" applyProtection="1">
      <alignment horizontal="center" vertical="center" wrapText="1"/>
      <protection locked="0"/>
    </xf>
    <xf numFmtId="1" fontId="32" fillId="13" borderId="11" xfId="22" applyNumberFormat="1" applyFont="1" applyFill="1" applyBorder="1" applyAlignment="1" applyProtection="1">
      <alignment horizontal="center" vertical="center" wrapText="1"/>
      <protection locked="0"/>
    </xf>
    <xf numFmtId="1" fontId="32" fillId="14" borderId="11" xfId="22" applyNumberFormat="1" applyFont="1" applyFill="1" applyBorder="1" applyAlignment="1" applyProtection="1">
      <alignment horizontal="center" vertical="center" wrapText="1"/>
      <protection locked="0"/>
    </xf>
    <xf numFmtId="44" fontId="24" fillId="6" borderId="27" xfId="21" applyFont="1" applyFill="1" applyBorder="1" applyAlignment="1" applyProtection="1">
      <alignment horizontal="center" vertical="center" wrapText="1"/>
      <protection hidden="1"/>
    </xf>
    <xf numFmtId="0" fontId="34" fillId="4" borderId="14" xfId="0" applyNumberFormat="1" applyFont="1" applyFill="1" applyBorder="1" applyAlignment="1" applyProtection="1">
      <alignment horizontal="center" vertical="center" wrapText="1"/>
      <protection locked="0"/>
    </xf>
    <xf numFmtId="0" fontId="34" fillId="8" borderId="14" xfId="0" applyNumberFormat="1" applyFont="1" applyFill="1" applyBorder="1" applyAlignment="1" applyProtection="1">
      <alignment horizontal="center" vertical="center" wrapText="1"/>
      <protection locked="0"/>
    </xf>
    <xf numFmtId="1" fontId="34" fillId="8" borderId="14" xfId="22" applyNumberFormat="1" applyFont="1" applyFill="1" applyBorder="1" applyAlignment="1" applyProtection="1">
      <alignment horizontal="center" vertical="center" wrapText="1"/>
      <protection locked="0"/>
    </xf>
    <xf numFmtId="0" fontId="34" fillId="12" borderId="14" xfId="22" applyNumberFormat="1" applyFont="1" applyFill="1" applyBorder="1" applyAlignment="1" applyProtection="1">
      <alignment horizontal="center" vertical="center" wrapText="1"/>
      <protection locked="0"/>
    </xf>
    <xf numFmtId="0" fontId="34" fillId="12" borderId="14" xfId="0" applyNumberFormat="1" applyFont="1" applyFill="1" applyBorder="1" applyAlignment="1" applyProtection="1">
      <alignment horizontal="center" vertical="center" wrapText="1"/>
      <protection locked="0"/>
    </xf>
    <xf numFmtId="1" fontId="34" fillId="13" borderId="14" xfId="22" applyNumberFormat="1" applyFont="1" applyFill="1" applyBorder="1" applyAlignment="1" applyProtection="1">
      <alignment horizontal="center" vertical="center" wrapText="1"/>
      <protection locked="0"/>
    </xf>
    <xf numFmtId="1" fontId="34" fillId="14" borderId="14" xfId="22" applyNumberFormat="1" applyFont="1" applyFill="1" applyBorder="1" applyAlignment="1" applyProtection="1">
      <alignment horizontal="center" vertical="center" wrapText="1"/>
      <protection locked="0"/>
    </xf>
    <xf numFmtId="9" fontId="34" fillId="12" borderId="14" xfId="22" applyFont="1" applyFill="1" applyBorder="1" applyAlignment="1" applyProtection="1">
      <alignment horizontal="center" vertical="center" wrapText="1"/>
      <protection locked="0"/>
    </xf>
    <xf numFmtId="1" fontId="34" fillId="12" borderId="14" xfId="22" applyNumberFormat="1" applyFont="1" applyFill="1" applyBorder="1" applyAlignment="1" applyProtection="1">
      <alignment horizontal="center" vertical="center" wrapText="1"/>
      <protection locked="0"/>
    </xf>
    <xf numFmtId="9" fontId="34" fillId="14" borderId="14" xfId="22" applyFont="1" applyFill="1" applyBorder="1" applyAlignment="1" applyProtection="1">
      <alignment horizontal="center" vertical="center" wrapText="1"/>
      <protection locked="0"/>
    </xf>
    <xf numFmtId="0" fontId="34" fillId="4" borderId="11" xfId="0" applyFont="1" applyFill="1" applyBorder="1" applyAlignment="1" applyProtection="1">
      <alignment horizontal="center" vertical="center" wrapText="1"/>
      <protection locked="0"/>
    </xf>
    <xf numFmtId="0" fontId="34" fillId="8" borderId="11" xfId="0" applyFont="1" applyFill="1" applyBorder="1" applyAlignment="1" applyProtection="1">
      <alignment horizontal="center" vertical="center" wrapText="1"/>
      <protection locked="0"/>
    </xf>
    <xf numFmtId="0" fontId="34" fillId="12" borderId="11" xfId="0" applyFont="1" applyFill="1" applyBorder="1" applyAlignment="1" applyProtection="1">
      <alignment horizontal="center" vertical="center" wrapText="1"/>
      <protection locked="0"/>
    </xf>
    <xf numFmtId="0" fontId="34" fillId="12" borderId="39" xfId="0" applyFont="1" applyFill="1" applyBorder="1" applyAlignment="1" applyProtection="1">
      <alignment horizontal="center" vertical="center" wrapText="1"/>
      <protection locked="0"/>
    </xf>
    <xf numFmtId="1" fontId="34" fillId="13" borderId="40" xfId="22" applyNumberFormat="1" applyFont="1" applyFill="1" applyBorder="1" applyAlignment="1" applyProtection="1">
      <alignment horizontal="center" vertical="center" wrapText="1"/>
      <protection locked="0"/>
    </xf>
    <xf numFmtId="1" fontId="34" fillId="13" borderId="11" xfId="22" applyNumberFormat="1" applyFont="1" applyFill="1" applyBorder="1" applyAlignment="1" applyProtection="1">
      <alignment horizontal="center" vertical="center" wrapText="1"/>
      <protection locked="0"/>
    </xf>
    <xf numFmtId="1" fontId="34" fillId="14" borderId="11" xfId="22" applyNumberFormat="1" applyFont="1" applyFill="1" applyBorder="1" applyAlignment="1" applyProtection="1">
      <alignment horizontal="center" vertical="center" wrapText="1"/>
      <protection locked="0"/>
    </xf>
    <xf numFmtId="9" fontId="34" fillId="4" borderId="14" xfId="22" applyFont="1" applyFill="1" applyBorder="1" applyAlignment="1" applyProtection="1">
      <alignment horizontal="center" vertical="center" wrapText="1"/>
      <protection locked="0"/>
    </xf>
    <xf numFmtId="9" fontId="34" fillId="8" borderId="14" xfId="22" applyFont="1" applyFill="1" applyBorder="1" applyAlignment="1" applyProtection="1">
      <alignment horizontal="center" vertical="center" wrapText="1"/>
      <protection locked="0"/>
    </xf>
    <xf numFmtId="9" fontId="34" fillId="13" borderId="14" xfId="22" applyFont="1" applyFill="1" applyBorder="1" applyAlignment="1" applyProtection="1">
      <alignment horizontal="center" vertical="center" wrapText="1"/>
      <protection locked="0"/>
    </xf>
    <xf numFmtId="9" fontId="32" fillId="4" borderId="11" xfId="22" applyFont="1" applyFill="1" applyBorder="1" applyAlignment="1" applyProtection="1">
      <alignment horizontal="center" vertical="center" wrapText="1"/>
      <protection locked="0"/>
    </xf>
    <xf numFmtId="9" fontId="32" fillId="8" borderId="11" xfId="22" applyFont="1" applyFill="1" applyBorder="1" applyAlignment="1" applyProtection="1">
      <alignment horizontal="center" vertical="center" wrapText="1"/>
      <protection locked="0"/>
    </xf>
    <xf numFmtId="9" fontId="32" fillId="12" borderId="11" xfId="22" applyFont="1" applyFill="1" applyBorder="1" applyAlignment="1" applyProtection="1">
      <alignment horizontal="center" vertical="center" wrapText="1"/>
      <protection locked="0"/>
    </xf>
    <xf numFmtId="9" fontId="32" fillId="13" borderId="11" xfId="22" applyFont="1" applyFill="1" applyBorder="1" applyAlignment="1" applyProtection="1">
      <alignment horizontal="center" vertical="center" wrapText="1"/>
      <protection locked="0"/>
    </xf>
    <xf numFmtId="9" fontId="32" fillId="14" borderId="11" xfId="22" applyFont="1" applyFill="1" applyBorder="1" applyAlignment="1" applyProtection="1">
      <alignment horizontal="center" vertical="center" wrapText="1"/>
      <protection locked="0"/>
    </xf>
    <xf numFmtId="166" fontId="19" fillId="9" borderId="11" xfId="23" applyNumberFormat="1" applyFont="1" applyFill="1" applyBorder="1" applyAlignment="1" applyProtection="1">
      <alignment horizontal="center" vertical="center" wrapText="1"/>
      <protection hidden="1"/>
    </xf>
    <xf numFmtId="0" fontId="32" fillId="4" borderId="11" xfId="23" applyFont="1" applyFill="1" applyBorder="1" applyAlignment="1" applyProtection="1">
      <alignment horizontal="center" vertical="center" wrapText="1"/>
      <protection locked="0"/>
    </xf>
    <xf numFmtId="0" fontId="32" fillId="8" borderId="11" xfId="23" applyFont="1" applyFill="1" applyBorder="1" applyAlignment="1" applyProtection="1">
      <alignment horizontal="center" vertical="center" wrapText="1"/>
      <protection locked="0"/>
    </xf>
    <xf numFmtId="0" fontId="32" fillId="12" borderId="11" xfId="23" applyFont="1" applyFill="1" applyBorder="1" applyAlignment="1" applyProtection="1">
      <alignment horizontal="center" vertical="center" wrapText="1"/>
      <protection locked="0"/>
    </xf>
    <xf numFmtId="0" fontId="32" fillId="13" borderId="11" xfId="23" applyFont="1" applyFill="1" applyBorder="1" applyAlignment="1" applyProtection="1">
      <alignment horizontal="center" vertical="center" wrapText="1"/>
      <protection locked="0"/>
    </xf>
    <xf numFmtId="0" fontId="32" fillId="14" borderId="11" xfId="23" applyFont="1" applyFill="1" applyBorder="1" applyAlignment="1" applyProtection="1">
      <alignment horizontal="center" vertical="center" wrapText="1"/>
      <protection locked="0"/>
    </xf>
    <xf numFmtId="0" fontId="44" fillId="7" borderId="20" xfId="0" applyFont="1" applyFill="1" applyBorder="1" applyAlignment="1">
      <alignment horizontal="center" vertical="center" wrapText="1"/>
    </xf>
    <xf numFmtId="0" fontId="39" fillId="9" borderId="1" xfId="0" applyFont="1" applyFill="1" applyBorder="1" applyAlignment="1">
      <alignment horizontal="center" vertical="center" wrapText="1"/>
    </xf>
    <xf numFmtId="0" fontId="39" fillId="9" borderId="1" xfId="0" applyFont="1" applyFill="1" applyBorder="1" applyAlignment="1" applyProtection="1">
      <alignment horizontal="center" vertical="center" wrapText="1"/>
      <protection locked="0"/>
    </xf>
    <xf numFmtId="0" fontId="43" fillId="9" borderId="1" xfId="0" applyFont="1" applyFill="1" applyBorder="1" applyAlignment="1">
      <alignment horizontal="center" vertical="center" wrapText="1"/>
    </xf>
    <xf numFmtId="0" fontId="43" fillId="9" borderId="1" xfId="0" applyFont="1" applyFill="1" applyBorder="1" applyAlignment="1" applyProtection="1">
      <alignment horizontal="center" vertical="center" wrapText="1"/>
      <protection locked="0"/>
    </xf>
    <xf numFmtId="14" fontId="1" fillId="0" borderId="11" xfId="23" applyNumberFormat="1" applyFont="1" applyFill="1" applyBorder="1" applyAlignment="1" applyProtection="1">
      <alignment horizontal="center" vertical="center" wrapText="1"/>
      <protection hidden="1"/>
    </xf>
    <xf numFmtId="9" fontId="34" fillId="4" borderId="4" xfId="22" applyFont="1" applyFill="1" applyBorder="1" applyAlignment="1" applyProtection="1">
      <alignment horizontal="center" vertical="center" wrapText="1"/>
      <protection locked="0"/>
    </xf>
    <xf numFmtId="9" fontId="34" fillId="8" borderId="4" xfId="22" applyFont="1" applyFill="1" applyBorder="1" applyAlignment="1" applyProtection="1">
      <alignment horizontal="center" vertical="center" wrapText="1"/>
      <protection locked="0"/>
    </xf>
    <xf numFmtId="9" fontId="34" fillId="12" borderId="4" xfId="22" applyFont="1" applyFill="1" applyBorder="1" applyAlignment="1" applyProtection="1">
      <alignment horizontal="center" vertical="center" wrapText="1"/>
      <protection locked="0"/>
    </xf>
    <xf numFmtId="9" fontId="34" fillId="12" borderId="17" xfId="22" applyFont="1" applyFill="1" applyBorder="1" applyAlignment="1" applyProtection="1">
      <alignment horizontal="center" vertical="center" wrapText="1"/>
      <protection locked="0"/>
    </xf>
    <xf numFmtId="9" fontId="34" fillId="13" borderId="18" xfId="22" applyFont="1" applyFill="1" applyBorder="1" applyAlignment="1" applyProtection="1">
      <alignment horizontal="center" vertical="center" wrapText="1"/>
      <protection locked="0"/>
    </xf>
    <xf numFmtId="9" fontId="34" fillId="13" borderId="4" xfId="22" applyFont="1" applyFill="1" applyBorder="1" applyAlignment="1" applyProtection="1">
      <alignment horizontal="center" vertical="center" wrapText="1"/>
      <protection locked="0"/>
    </xf>
    <xf numFmtId="9" fontId="34" fillId="14" borderId="4" xfId="22" applyFont="1" applyFill="1" applyBorder="1" applyAlignment="1" applyProtection="1">
      <alignment horizontal="center" vertical="center" wrapText="1"/>
      <protection locked="0"/>
    </xf>
    <xf numFmtId="9" fontId="34" fillId="14" borderId="17" xfId="22" applyFont="1" applyFill="1" applyBorder="1" applyAlignment="1" applyProtection="1">
      <alignment horizontal="center" vertical="center" wrapText="1"/>
      <protection locked="0"/>
    </xf>
    <xf numFmtId="0" fontId="34" fillId="4" borderId="4" xfId="0" applyFont="1" applyFill="1" applyBorder="1" applyAlignment="1" applyProtection="1">
      <alignment horizontal="center" vertical="center" wrapText="1"/>
      <protection locked="0"/>
    </xf>
    <xf numFmtId="0" fontId="34" fillId="8" borderId="4" xfId="0" applyFont="1" applyFill="1" applyBorder="1" applyAlignment="1" applyProtection="1">
      <alignment horizontal="center" vertical="center" wrapText="1"/>
      <protection locked="0"/>
    </xf>
    <xf numFmtId="0" fontId="34" fillId="12" borderId="4" xfId="0" applyFont="1" applyFill="1" applyBorder="1" applyAlignment="1" applyProtection="1">
      <alignment horizontal="center" vertical="center" wrapText="1"/>
      <protection locked="0"/>
    </xf>
    <xf numFmtId="0" fontId="34" fillId="12" borderId="17" xfId="0" applyFont="1" applyFill="1" applyBorder="1" applyAlignment="1" applyProtection="1">
      <alignment horizontal="center" vertical="center" wrapText="1"/>
      <protection locked="0"/>
    </xf>
    <xf numFmtId="1" fontId="34" fillId="13" borderId="18" xfId="22" applyNumberFormat="1" applyFont="1" applyFill="1" applyBorder="1" applyAlignment="1" applyProtection="1">
      <alignment horizontal="center" vertical="center" wrapText="1"/>
      <protection locked="0"/>
    </xf>
    <xf numFmtId="1" fontId="34" fillId="13" borderId="4" xfId="22" applyNumberFormat="1" applyFont="1" applyFill="1" applyBorder="1" applyAlignment="1" applyProtection="1">
      <alignment horizontal="center" vertical="center" wrapText="1"/>
      <protection locked="0"/>
    </xf>
    <xf numFmtId="1" fontId="34" fillId="14" borderId="4" xfId="22" applyNumberFormat="1" applyFont="1" applyFill="1" applyBorder="1" applyAlignment="1" applyProtection="1">
      <alignment horizontal="center" vertical="center" wrapText="1"/>
      <protection locked="0"/>
    </xf>
    <xf numFmtId="1" fontId="34" fillId="14" borderId="17" xfId="22" applyNumberFormat="1" applyFont="1" applyFill="1" applyBorder="1" applyAlignment="1" applyProtection="1">
      <alignment horizontal="center" vertical="center" wrapText="1"/>
      <protection locked="0"/>
    </xf>
    <xf numFmtId="9" fontId="32" fillId="4" borderId="4" xfId="22" applyFont="1" applyFill="1" applyBorder="1" applyAlignment="1" applyProtection="1">
      <alignment horizontal="center" vertical="center" wrapText="1"/>
      <protection locked="0"/>
    </xf>
    <xf numFmtId="9" fontId="32" fillId="8" borderId="4" xfId="22" applyFont="1" applyFill="1" applyBorder="1" applyAlignment="1" applyProtection="1">
      <alignment horizontal="center" vertical="center" wrapText="1"/>
      <protection locked="0"/>
    </xf>
    <xf numFmtId="9" fontId="32" fillId="12" borderId="4" xfId="22" applyFont="1" applyFill="1" applyBorder="1" applyAlignment="1" applyProtection="1">
      <alignment horizontal="center" vertical="center" wrapText="1"/>
      <protection locked="0"/>
    </xf>
    <xf numFmtId="9" fontId="32" fillId="13" borderId="4" xfId="22" applyFont="1" applyFill="1" applyBorder="1" applyAlignment="1" applyProtection="1">
      <alignment horizontal="center" vertical="center" wrapText="1"/>
      <protection locked="0"/>
    </xf>
    <xf numFmtId="9" fontId="32" fillId="14" borderId="4" xfId="22" applyFont="1" applyFill="1" applyBorder="1" applyAlignment="1" applyProtection="1">
      <alignment horizontal="center" vertical="center" wrapText="1"/>
      <protection locked="0"/>
    </xf>
    <xf numFmtId="0" fontId="42" fillId="3" borderId="6" xfId="0" applyFont="1" applyFill="1" applyBorder="1" applyAlignment="1" applyProtection="1">
      <alignment horizontal="center" vertical="center" wrapText="1"/>
      <protection locked="0"/>
    </xf>
    <xf numFmtId="0" fontId="32" fillId="4" borderId="11" xfId="23" applyNumberFormat="1" applyFont="1" applyFill="1" applyBorder="1" applyAlignment="1" applyProtection="1">
      <alignment horizontal="center" vertical="center" wrapText="1"/>
      <protection locked="0"/>
    </xf>
    <xf numFmtId="0" fontId="32" fillId="8" borderId="11" xfId="23" applyNumberFormat="1" applyFont="1" applyFill="1" applyBorder="1" applyAlignment="1" applyProtection="1">
      <alignment horizontal="center" vertical="center" wrapText="1"/>
      <protection locked="0"/>
    </xf>
    <xf numFmtId="0" fontId="32" fillId="12" borderId="11" xfId="23" applyNumberFormat="1" applyFont="1" applyFill="1" applyBorder="1" applyAlignment="1" applyProtection="1">
      <alignment horizontal="center" vertical="center" wrapText="1"/>
      <protection locked="0"/>
    </xf>
    <xf numFmtId="0" fontId="32" fillId="13" borderId="11" xfId="23" applyNumberFormat="1" applyFont="1" applyFill="1" applyBorder="1" applyAlignment="1" applyProtection="1">
      <alignment horizontal="center" vertical="center" wrapText="1"/>
      <protection locked="0"/>
    </xf>
    <xf numFmtId="0" fontId="32" fillId="14" borderId="11" xfId="23" applyNumberFormat="1" applyFont="1" applyFill="1" applyBorder="1" applyAlignment="1" applyProtection="1">
      <alignment horizontal="center" vertical="center" wrapText="1"/>
      <protection locked="0"/>
    </xf>
    <xf numFmtId="0" fontId="32" fillId="4" borderId="36" xfId="23" applyFont="1" applyFill="1" applyBorder="1" applyAlignment="1" applyProtection="1">
      <alignment horizontal="center" vertical="center" wrapText="1"/>
      <protection locked="0"/>
    </xf>
    <xf numFmtId="0" fontId="32" fillId="8" borderId="36" xfId="23" applyFont="1" applyFill="1" applyBorder="1" applyAlignment="1" applyProtection="1">
      <alignment horizontal="center" vertical="center" wrapText="1"/>
      <protection locked="0"/>
    </xf>
    <xf numFmtId="0" fontId="32" fillId="12" borderId="36" xfId="23" applyFont="1" applyFill="1" applyBorder="1" applyAlignment="1" applyProtection="1">
      <alignment horizontal="center" vertical="center" wrapText="1"/>
      <protection locked="0"/>
    </xf>
    <xf numFmtId="9" fontId="32" fillId="12" borderId="36" xfId="22" applyFont="1" applyFill="1" applyBorder="1" applyAlignment="1" applyProtection="1">
      <alignment horizontal="center" vertical="center" wrapText="1"/>
      <protection locked="0"/>
    </xf>
    <xf numFmtId="9" fontId="32" fillId="13" borderId="36" xfId="22" applyFont="1" applyFill="1" applyBorder="1" applyAlignment="1" applyProtection="1">
      <alignment horizontal="center" vertical="center" wrapText="1"/>
      <protection locked="0"/>
    </xf>
    <xf numFmtId="9" fontId="32" fillId="14" borderId="36" xfId="22" applyFont="1" applyFill="1" applyBorder="1" applyAlignment="1" applyProtection="1">
      <alignment horizontal="center" vertical="center" wrapText="1"/>
      <protection locked="0"/>
    </xf>
    <xf numFmtId="0" fontId="32" fillId="13" borderId="36" xfId="23" applyFont="1" applyFill="1" applyBorder="1" applyAlignment="1" applyProtection="1">
      <alignment horizontal="center" vertical="center" wrapText="1"/>
      <protection locked="0"/>
    </xf>
    <xf numFmtId="0" fontId="32" fillId="14" borderId="36" xfId="23" applyFont="1" applyFill="1" applyBorder="1" applyAlignment="1" applyProtection="1">
      <alignment horizontal="center" vertical="center" wrapText="1"/>
      <protection locked="0"/>
    </xf>
    <xf numFmtId="0" fontId="42" fillId="3" borderId="12" xfId="0" applyFont="1" applyFill="1" applyBorder="1" applyAlignment="1" applyProtection="1">
      <alignment horizontal="center" vertical="center" wrapText="1"/>
      <protection locked="0"/>
    </xf>
    <xf numFmtId="0" fontId="32" fillId="4" borderId="4" xfId="23" applyFont="1" applyFill="1" applyBorder="1" applyAlignment="1" applyProtection="1">
      <alignment horizontal="center" vertical="center" wrapText="1"/>
      <protection locked="0"/>
    </xf>
    <xf numFmtId="0" fontId="32" fillId="8" borderId="4" xfId="23" applyFont="1" applyFill="1" applyBorder="1" applyAlignment="1" applyProtection="1">
      <alignment horizontal="center" vertical="center" wrapText="1"/>
      <protection locked="0"/>
    </xf>
    <xf numFmtId="0" fontId="32" fillId="12" borderId="4" xfId="23" applyFont="1" applyFill="1" applyBorder="1" applyAlignment="1" applyProtection="1">
      <alignment horizontal="center" vertical="center" wrapText="1"/>
      <protection locked="0"/>
    </xf>
    <xf numFmtId="0" fontId="32" fillId="13" borderId="4" xfId="23" applyFont="1" applyFill="1" applyBorder="1" applyAlignment="1" applyProtection="1">
      <alignment horizontal="center" vertical="center" wrapText="1"/>
      <protection locked="0"/>
    </xf>
    <xf numFmtId="0" fontId="32" fillId="14" borderId="4" xfId="23" applyFont="1" applyFill="1" applyBorder="1" applyAlignment="1" applyProtection="1">
      <alignment horizontal="center" vertical="center" wrapText="1"/>
      <protection locked="0"/>
    </xf>
    <xf numFmtId="1" fontId="1" fillId="0" borderId="24" xfId="20" applyNumberFormat="1" applyFont="1" applyFill="1" applyBorder="1" applyAlignment="1" applyProtection="1">
      <alignment horizontal="center" vertical="center" wrapText="1"/>
      <protection hidden="1"/>
    </xf>
    <xf numFmtId="0" fontId="32" fillId="4" borderId="14" xfId="23" applyFont="1" applyFill="1" applyBorder="1" applyAlignment="1" applyProtection="1">
      <alignment horizontal="center" vertical="center" wrapText="1"/>
      <protection locked="0"/>
    </xf>
    <xf numFmtId="0" fontId="32" fillId="8" borderId="14" xfId="23" applyFont="1" applyFill="1" applyBorder="1" applyAlignment="1" applyProtection="1">
      <alignment horizontal="center" vertical="center" wrapText="1"/>
      <protection locked="0"/>
    </xf>
    <xf numFmtId="0" fontId="32" fillId="12" borderId="14" xfId="23" applyFont="1" applyFill="1" applyBorder="1" applyAlignment="1" applyProtection="1">
      <alignment horizontal="center" vertical="center" wrapText="1"/>
      <protection locked="0"/>
    </xf>
    <xf numFmtId="0" fontId="32" fillId="13" borderId="14" xfId="23" applyFont="1" applyFill="1" applyBorder="1" applyAlignment="1" applyProtection="1">
      <alignment horizontal="center" vertical="center" wrapText="1"/>
      <protection locked="0"/>
    </xf>
    <xf numFmtId="0" fontId="32" fillId="14" borderId="14" xfId="23" applyFont="1" applyFill="1" applyBorder="1" applyAlignment="1" applyProtection="1">
      <alignment horizontal="center" vertical="center" wrapText="1"/>
      <protection locked="0"/>
    </xf>
    <xf numFmtId="0" fontId="44" fillId="7" borderId="20" xfId="0" applyFont="1" applyFill="1" applyBorder="1" applyAlignment="1" applyProtection="1">
      <alignment horizontal="center" vertical="center" wrapText="1"/>
      <protection locked="0"/>
    </xf>
    <xf numFmtId="0" fontId="39" fillId="7" borderId="1" xfId="0" applyFont="1" applyFill="1" applyBorder="1" applyAlignment="1">
      <alignment horizontal="center" vertical="center" wrapText="1"/>
    </xf>
    <xf numFmtId="0" fontId="39" fillId="7" borderId="1" xfId="0" applyFont="1" applyFill="1" applyBorder="1" applyAlignment="1" applyProtection="1">
      <alignment horizontal="center" vertical="center" wrapText="1"/>
      <protection locked="0"/>
    </xf>
    <xf numFmtId="0" fontId="39" fillId="7" borderId="1" xfId="0" applyFont="1" applyFill="1" applyBorder="1" applyAlignment="1" applyProtection="1">
      <alignment horizontal="center" vertical="center" wrapText="1"/>
      <protection/>
    </xf>
    <xf numFmtId="0" fontId="1" fillId="5" borderId="14" xfId="22" applyNumberFormat="1" applyFont="1" applyFill="1" applyBorder="1" applyAlignment="1" applyProtection="1">
      <alignment horizontal="center" vertical="center" wrapText="1"/>
      <protection hidden="1"/>
    </xf>
    <xf numFmtId="0" fontId="1" fillId="6" borderId="67" xfId="23" applyFont="1" applyFill="1" applyBorder="1" applyAlignment="1" applyProtection="1">
      <alignment horizontal="center" vertical="center" wrapText="1"/>
      <protection hidden="1"/>
    </xf>
    <xf numFmtId="0" fontId="32" fillId="4" borderId="14" xfId="22" applyNumberFormat="1" applyFont="1" applyFill="1" applyBorder="1" applyAlignment="1" applyProtection="1">
      <alignment horizontal="center" vertical="center" wrapText="1"/>
      <protection locked="0"/>
    </xf>
    <xf numFmtId="0" fontId="32" fillId="8" borderId="14" xfId="22" applyNumberFormat="1" applyFont="1" applyFill="1" applyBorder="1" applyAlignment="1" applyProtection="1">
      <alignment horizontal="center" vertical="center" wrapText="1"/>
      <protection locked="0"/>
    </xf>
    <xf numFmtId="0" fontId="32" fillId="12" borderId="14" xfId="22" applyNumberFormat="1" applyFont="1" applyFill="1" applyBorder="1" applyAlignment="1" applyProtection="1">
      <alignment horizontal="center" vertical="center" wrapText="1"/>
      <protection locked="0"/>
    </xf>
    <xf numFmtId="0" fontId="32" fillId="13" borderId="14" xfId="22" applyNumberFormat="1" applyFont="1" applyFill="1" applyBorder="1" applyAlignment="1" applyProtection="1">
      <alignment horizontal="center" vertical="center" wrapText="1"/>
      <protection locked="0"/>
    </xf>
    <xf numFmtId="0" fontId="32" fillId="14" borderId="14" xfId="22" applyNumberFormat="1" applyFont="1" applyFill="1" applyBorder="1" applyAlignment="1" applyProtection="1">
      <alignment horizontal="center" vertical="center" wrapText="1"/>
      <protection locked="0"/>
    </xf>
    <xf numFmtId="0" fontId="19" fillId="0" borderId="49" xfId="22" applyNumberFormat="1" applyFont="1" applyBorder="1" applyAlignment="1">
      <alignment horizontal="center" vertical="center" wrapText="1"/>
    </xf>
    <xf numFmtId="0" fontId="32" fillId="4" borderId="9" xfId="23" applyFont="1" applyFill="1" applyBorder="1" applyAlignment="1" applyProtection="1">
      <alignment horizontal="center" vertical="center" wrapText="1"/>
      <protection locked="0"/>
    </xf>
    <xf numFmtId="0" fontId="32" fillId="4" borderId="20" xfId="23" applyFont="1" applyFill="1" applyBorder="1" applyAlignment="1" applyProtection="1">
      <alignment horizontal="center" vertical="center" wrapText="1"/>
      <protection locked="0"/>
    </xf>
    <xf numFmtId="0" fontId="32" fillId="8" borderId="28" xfId="23" applyFont="1" applyFill="1" applyBorder="1" applyAlignment="1" applyProtection="1">
      <alignment horizontal="center" vertical="center" wrapText="1"/>
      <protection locked="0"/>
    </xf>
    <xf numFmtId="0" fontId="32" fillId="8" borderId="20" xfId="23" applyFont="1" applyFill="1" applyBorder="1" applyAlignment="1" applyProtection="1">
      <alignment horizontal="center" vertical="center" wrapText="1"/>
      <protection locked="0"/>
    </xf>
    <xf numFmtId="0" fontId="32" fillId="12" borderId="28" xfId="23" applyFont="1" applyFill="1" applyBorder="1" applyAlignment="1" applyProtection="1">
      <alignment horizontal="center" vertical="center" wrapText="1"/>
      <protection locked="0"/>
    </xf>
    <xf numFmtId="0" fontId="32" fillId="12" borderId="9" xfId="23" applyFont="1" applyFill="1" applyBorder="1" applyAlignment="1" applyProtection="1">
      <alignment horizontal="center" vertical="center" wrapText="1"/>
      <protection locked="0"/>
    </xf>
    <xf numFmtId="3" fontId="34" fillId="13" borderId="28" xfId="0" applyNumberFormat="1" applyFont="1" applyFill="1" applyBorder="1" applyAlignment="1" applyProtection="1">
      <alignment horizontal="center" vertical="center" wrapText="1"/>
      <protection locked="0"/>
    </xf>
    <xf numFmtId="3" fontId="34" fillId="13" borderId="20" xfId="0" applyNumberFormat="1" applyFont="1" applyFill="1" applyBorder="1" applyAlignment="1" applyProtection="1">
      <alignment horizontal="center" vertical="center" wrapText="1"/>
      <protection locked="0"/>
    </xf>
    <xf numFmtId="3" fontId="34" fillId="14" borderId="28" xfId="0" applyNumberFormat="1" applyFont="1" applyFill="1" applyBorder="1" applyAlignment="1" applyProtection="1">
      <alignment horizontal="center" vertical="center" wrapText="1"/>
      <protection locked="0"/>
    </xf>
    <xf numFmtId="3" fontId="34" fillId="14" borderId="9" xfId="0" applyNumberFormat="1" applyFont="1" applyFill="1" applyBorder="1" applyAlignment="1" applyProtection="1">
      <alignment horizontal="center" vertical="center" wrapText="1"/>
      <protection locked="0"/>
    </xf>
    <xf numFmtId="0" fontId="18" fillId="17" borderId="68" xfId="23" applyFont="1" applyFill="1" applyBorder="1" applyAlignment="1" applyProtection="1">
      <alignment horizontal="center" vertical="center" wrapText="1"/>
      <protection hidden="1"/>
    </xf>
    <xf numFmtId="0" fontId="18" fillId="18" borderId="68" xfId="23" applyFont="1" applyFill="1" applyBorder="1" applyAlignment="1" applyProtection="1">
      <alignment horizontal="center" vertical="center" wrapText="1"/>
      <protection hidden="1"/>
    </xf>
    <xf numFmtId="0" fontId="36" fillId="16" borderId="66" xfId="23" applyFont="1" applyFill="1" applyBorder="1" applyAlignment="1" applyProtection="1">
      <alignment horizontal="center" vertical="center" wrapText="1"/>
      <protection hidden="1"/>
    </xf>
    <xf numFmtId="0" fontId="36" fillId="0" borderId="69" xfId="23" applyFont="1" applyFill="1" applyBorder="1" applyAlignment="1" applyProtection="1">
      <alignment horizontal="center" vertical="center" wrapText="1"/>
      <protection hidden="1"/>
    </xf>
    <xf numFmtId="0" fontId="36" fillId="0" borderId="69" xfId="28" applyFont="1" applyFill="1" applyBorder="1" applyAlignment="1">
      <alignment horizontal="center" vertical="center" wrapText="1"/>
      <protection/>
    </xf>
    <xf numFmtId="0" fontId="36" fillId="0" borderId="70" xfId="23" applyFont="1" applyFill="1" applyBorder="1" applyAlignment="1" applyProtection="1">
      <alignment horizontal="center" vertical="center" wrapText="1"/>
      <protection hidden="1"/>
    </xf>
    <xf numFmtId="0" fontId="1" fillId="17" borderId="71" xfId="23" applyFont="1" applyFill="1" applyBorder="1" applyAlignment="1" applyProtection="1">
      <alignment horizontal="center" vertical="center" wrapText="1"/>
      <protection hidden="1"/>
    </xf>
    <xf numFmtId="9" fontId="36" fillId="17" borderId="71" xfId="22" applyFont="1" applyFill="1" applyBorder="1" applyAlignment="1" applyProtection="1">
      <alignment horizontal="center" vertical="center" wrapText="1"/>
      <protection hidden="1"/>
    </xf>
    <xf numFmtId="0" fontId="36" fillId="17" borderId="71" xfId="23" applyFont="1" applyFill="1" applyBorder="1" applyAlignment="1" applyProtection="1">
      <alignment horizontal="center" vertical="center" wrapText="1"/>
      <protection hidden="1"/>
    </xf>
    <xf numFmtId="14" fontId="36" fillId="17" borderId="71" xfId="23" applyNumberFormat="1" applyFont="1" applyFill="1" applyBorder="1" applyAlignment="1" applyProtection="1">
      <alignment horizontal="center" vertical="center" wrapText="1"/>
      <protection hidden="1"/>
    </xf>
    <xf numFmtId="0" fontId="36" fillId="18" borderId="71" xfId="23" applyFont="1" applyFill="1" applyBorder="1" applyAlignment="1" applyProtection="1">
      <alignment horizontal="center" vertical="center" wrapText="1"/>
      <protection hidden="1"/>
    </xf>
    <xf numFmtId="3" fontId="36" fillId="18" borderId="71" xfId="28" applyNumberFormat="1" applyFont="1" applyFill="1" applyBorder="1" applyAlignment="1">
      <alignment horizontal="center" vertical="center" wrapText="1"/>
      <protection/>
    </xf>
    <xf numFmtId="1" fontId="36" fillId="0" borderId="71" xfId="20" applyNumberFormat="1" applyFont="1" applyFill="1" applyBorder="1" applyAlignment="1" applyProtection="1">
      <alignment horizontal="center" vertical="center" wrapText="1"/>
      <protection/>
    </xf>
    <xf numFmtId="169" fontId="1" fillId="17" borderId="71" xfId="23" applyNumberFormat="1" applyFont="1" applyFill="1" applyBorder="1" applyAlignment="1" applyProtection="1">
      <alignment horizontal="center" vertical="center" wrapText="1"/>
      <protection hidden="1"/>
    </xf>
    <xf numFmtId="0" fontId="1" fillId="17" borderId="72" xfId="23" applyFont="1" applyFill="1" applyBorder="1" applyAlignment="1" applyProtection="1">
      <alignment horizontal="center" vertical="center" wrapText="1"/>
      <protection hidden="1"/>
    </xf>
    <xf numFmtId="0" fontId="21" fillId="19" borderId="66" xfId="28" applyFont="1" applyFill="1" applyBorder="1" applyAlignment="1">
      <alignment horizontal="center" vertical="center" wrapText="1"/>
      <protection/>
    </xf>
    <xf numFmtId="0" fontId="21" fillId="17" borderId="0" xfId="28" applyFont="1" applyFill="1" applyAlignment="1">
      <alignment horizontal="center" vertical="center" wrapText="1"/>
      <protection/>
    </xf>
    <xf numFmtId="0" fontId="36" fillId="16" borderId="68" xfId="28" applyFont="1" applyFill="1" applyBorder="1" applyAlignment="1">
      <alignment horizontal="center" vertical="center" wrapText="1"/>
      <protection/>
    </xf>
    <xf numFmtId="0" fontId="36" fillId="0" borderId="73" xfId="28" applyFont="1" applyFill="1" applyBorder="1" applyAlignment="1">
      <alignment horizontal="center" vertical="center" wrapText="1"/>
      <protection/>
    </xf>
    <xf numFmtId="0" fontId="36" fillId="0" borderId="74" xfId="28" applyFont="1" applyFill="1" applyBorder="1" applyAlignment="1">
      <alignment horizontal="center" vertical="center" wrapText="1"/>
      <protection/>
    </xf>
    <xf numFmtId="0" fontId="36" fillId="0" borderId="75" xfId="28" applyFont="1" applyFill="1" applyBorder="1" applyAlignment="1">
      <alignment horizontal="center" vertical="center" wrapText="1"/>
      <protection/>
    </xf>
    <xf numFmtId="9" fontId="1" fillId="0" borderId="76" xfId="22" applyFont="1" applyFill="1" applyBorder="1" applyAlignment="1" applyProtection="1">
      <alignment horizontal="center" vertical="center" wrapText="1"/>
      <protection/>
    </xf>
    <xf numFmtId="0" fontId="36" fillId="0" borderId="76" xfId="28" applyFont="1" applyBorder="1" applyAlignment="1">
      <alignment horizontal="center" vertical="center" wrapText="1"/>
      <protection/>
    </xf>
    <xf numFmtId="14" fontId="1" fillId="17" borderId="76" xfId="24" applyNumberFormat="1" applyFont="1" applyFill="1" applyBorder="1" applyAlignment="1" applyProtection="1">
      <alignment horizontal="center" vertical="center" wrapText="1"/>
      <protection/>
    </xf>
    <xf numFmtId="0" fontId="1" fillId="18" borderId="76" xfId="23" applyFont="1" applyFill="1" applyBorder="1" applyAlignment="1" applyProtection="1">
      <alignment horizontal="center" vertical="center" wrapText="1"/>
      <protection hidden="1"/>
    </xf>
    <xf numFmtId="9" fontId="46" fillId="20" borderId="66" xfId="28" applyNumberFormat="1" applyFont="1" applyFill="1" applyBorder="1" applyAlignment="1">
      <alignment horizontal="center" vertical="center" wrapText="1"/>
      <protection/>
    </xf>
    <xf numFmtId="0" fontId="36" fillId="16" borderId="66" xfId="28" applyFont="1" applyFill="1" applyBorder="1" applyAlignment="1">
      <alignment horizontal="center" vertical="center" wrapText="1"/>
      <protection/>
    </xf>
    <xf numFmtId="0" fontId="36" fillId="6" borderId="70" xfId="28" applyFont="1" applyFill="1" applyBorder="1" applyAlignment="1">
      <alignment horizontal="center" vertical="center" wrapText="1"/>
      <protection/>
    </xf>
    <xf numFmtId="0" fontId="1" fillId="21" borderId="77" xfId="23" applyFont="1" applyFill="1" applyBorder="1" applyAlignment="1" applyProtection="1">
      <alignment horizontal="center" vertical="center" wrapText="1"/>
      <protection hidden="1"/>
    </xf>
    <xf numFmtId="0" fontId="36" fillId="0" borderId="71" xfId="28" applyFont="1" applyBorder="1" applyAlignment="1">
      <alignment horizontal="center" vertical="center" wrapText="1"/>
      <protection/>
    </xf>
    <xf numFmtId="14" fontId="1" fillId="17" borderId="71" xfId="24" applyNumberFormat="1" applyFont="1" applyFill="1" applyBorder="1" applyAlignment="1" applyProtection="1">
      <alignment horizontal="center" vertical="center" wrapText="1"/>
      <protection/>
    </xf>
    <xf numFmtId="0" fontId="1" fillId="18" borderId="71" xfId="23" applyFont="1" applyFill="1" applyBorder="1" applyAlignment="1" applyProtection="1">
      <alignment horizontal="center" vertical="center" wrapText="1"/>
      <protection hidden="1"/>
    </xf>
    <xf numFmtId="1" fontId="1" fillId="17" borderId="71" xfId="23" applyNumberFormat="1" applyFont="1" applyFill="1" applyBorder="1" applyAlignment="1" applyProtection="1">
      <alignment horizontal="center" vertical="center" wrapText="1"/>
      <protection hidden="1"/>
    </xf>
    <xf numFmtId="0" fontId="36" fillId="16" borderId="78" xfId="28" applyFont="1" applyFill="1" applyBorder="1" applyAlignment="1">
      <alignment horizontal="center" vertical="center" wrapText="1"/>
      <protection/>
    </xf>
    <xf numFmtId="0" fontId="36" fillId="6" borderId="79" xfId="28" applyFont="1" applyFill="1" applyBorder="1" applyAlignment="1">
      <alignment horizontal="center" vertical="center" wrapText="1"/>
      <protection/>
    </xf>
    <xf numFmtId="1" fontId="1" fillId="21" borderId="80" xfId="20" applyNumberFormat="1" applyFont="1" applyFill="1" applyBorder="1" applyAlignment="1" applyProtection="1">
      <alignment horizontal="center" vertical="center" wrapText="1"/>
      <protection hidden="1"/>
    </xf>
    <xf numFmtId="1" fontId="1" fillId="17" borderId="76" xfId="23" applyNumberFormat="1" applyFont="1" applyFill="1" applyBorder="1" applyAlignment="1" applyProtection="1">
      <alignment horizontal="center" vertical="center" wrapText="1"/>
      <protection hidden="1"/>
    </xf>
    <xf numFmtId="0" fontId="36" fillId="16" borderId="81" xfId="28" applyFont="1" applyFill="1" applyBorder="1" applyAlignment="1">
      <alignment horizontal="center" vertical="center" wrapText="1"/>
      <protection/>
    </xf>
    <xf numFmtId="0" fontId="36" fillId="6" borderId="82" xfId="28" applyFont="1" applyFill="1" applyBorder="1" applyAlignment="1">
      <alignment horizontal="center" vertical="center" wrapText="1"/>
      <protection/>
    </xf>
    <xf numFmtId="1" fontId="1" fillId="21" borderId="77" xfId="20" applyNumberFormat="1" applyFont="1" applyFill="1" applyBorder="1" applyAlignment="1" applyProtection="1">
      <alignment horizontal="center" vertical="center" wrapText="1"/>
      <protection hidden="1"/>
    </xf>
    <xf numFmtId="0" fontId="1" fillId="21" borderId="70" xfId="23" applyFont="1" applyFill="1" applyBorder="1" applyAlignment="1" applyProtection="1">
      <alignment horizontal="center" vertical="center" wrapText="1"/>
      <protection hidden="1"/>
    </xf>
    <xf numFmtId="0" fontId="36" fillId="6" borderId="73" xfId="28" applyFont="1" applyFill="1" applyBorder="1" applyAlignment="1">
      <alignment horizontal="center" vertical="center" wrapText="1"/>
      <protection/>
    </xf>
    <xf numFmtId="1" fontId="1" fillId="21" borderId="73" xfId="20" applyNumberFormat="1" applyFont="1" applyFill="1" applyBorder="1" applyAlignment="1" applyProtection="1">
      <alignment horizontal="center" vertical="center" wrapText="1"/>
      <protection hidden="1"/>
    </xf>
    <xf numFmtId="0" fontId="36" fillId="6" borderId="74" xfId="28" applyFont="1" applyFill="1" applyBorder="1" applyAlignment="1">
      <alignment horizontal="center" vertical="center" wrapText="1"/>
      <protection/>
    </xf>
    <xf numFmtId="0" fontId="36" fillId="0" borderId="80" xfId="28" applyFont="1" applyBorder="1" applyAlignment="1">
      <alignment horizontal="center" vertical="center" wrapText="1"/>
      <protection/>
    </xf>
    <xf numFmtId="14" fontId="1" fillId="17" borderId="79" xfId="24" applyNumberFormat="1" applyFont="1" applyFill="1" applyBorder="1" applyAlignment="1" applyProtection="1">
      <alignment horizontal="center" vertical="center" wrapText="1"/>
      <protection/>
    </xf>
    <xf numFmtId="0" fontId="36" fillId="6" borderId="69" xfId="28" applyFont="1" applyFill="1" applyBorder="1" applyAlignment="1">
      <alignment horizontal="center" vertical="center" wrapText="1"/>
      <protection/>
    </xf>
    <xf numFmtId="0" fontId="45" fillId="10" borderId="1" xfId="23" applyFont="1" applyFill="1" applyBorder="1" applyAlignment="1" applyProtection="1">
      <alignment horizontal="center" vertical="center" wrapText="1"/>
      <protection hidden="1"/>
    </xf>
    <xf numFmtId="0" fontId="45" fillId="10" borderId="1" xfId="23" applyFont="1" applyFill="1" applyBorder="1" applyAlignment="1" applyProtection="1">
      <alignment horizontal="center" vertical="center" wrapText="1"/>
      <protection locked="0"/>
    </xf>
    <xf numFmtId="0" fontId="47" fillId="0" borderId="0" xfId="0" applyFont="1" applyAlignment="1">
      <alignment horizontal="center" vertical="center"/>
    </xf>
    <xf numFmtId="0" fontId="40" fillId="0" borderId="0" xfId="28" applyAlignment="1">
      <alignment horizontal="center" vertical="center"/>
      <protection/>
    </xf>
    <xf numFmtId="0" fontId="48" fillId="0" borderId="0" xfId="28" applyFont="1" applyAlignment="1">
      <alignment horizontal="center" vertical="center"/>
      <protection/>
    </xf>
    <xf numFmtId="169" fontId="40" fillId="0" borderId="0" xfId="28" applyNumberFormat="1" applyAlignment="1">
      <alignment horizontal="center" vertical="center"/>
      <protection/>
    </xf>
    <xf numFmtId="0" fontId="49" fillId="0" borderId="0" xfId="28" applyFont="1" applyAlignment="1">
      <alignment horizontal="center" vertical="center" wrapText="1"/>
      <protection/>
    </xf>
    <xf numFmtId="0" fontId="20" fillId="22" borderId="66" xfId="29" applyFont="1" applyFill="1" applyBorder="1" applyAlignment="1" applyProtection="1">
      <alignment horizontal="center" vertical="center" wrapText="1"/>
      <protection hidden="1"/>
    </xf>
    <xf numFmtId="0" fontId="49" fillId="22" borderId="83" xfId="28" applyFont="1" applyFill="1" applyBorder="1" applyAlignment="1">
      <alignment horizontal="center" vertical="center" wrapText="1"/>
      <protection/>
    </xf>
    <xf numFmtId="169" fontId="49" fillId="22" borderId="83" xfId="28" applyNumberFormat="1" applyFont="1" applyFill="1" applyBorder="1" applyAlignment="1">
      <alignment horizontal="center" vertical="center" wrapText="1"/>
      <protection/>
    </xf>
    <xf numFmtId="165" fontId="49" fillId="22" borderId="83" xfId="28" applyNumberFormat="1" applyFont="1" applyFill="1" applyBorder="1" applyAlignment="1">
      <alignment horizontal="center" vertical="center" wrapText="1"/>
      <protection/>
    </xf>
    <xf numFmtId="9" fontId="49" fillId="22" borderId="83" xfId="28" applyNumberFormat="1" applyFont="1" applyFill="1" applyBorder="1" applyAlignment="1">
      <alignment horizontal="center" vertical="center" wrapText="1"/>
      <protection/>
    </xf>
    <xf numFmtId="1" fontId="49" fillId="22" borderId="83" xfId="30" applyNumberFormat="1" applyFont="1" applyFill="1" applyBorder="1" applyAlignment="1" applyProtection="1">
      <alignment horizontal="center" vertical="center" wrapText="1"/>
      <protection/>
    </xf>
    <xf numFmtId="0" fontId="50" fillId="22" borderId="83" xfId="28" applyFont="1" applyFill="1" applyBorder="1" applyAlignment="1">
      <alignment horizontal="center" vertical="center" wrapText="1"/>
      <protection/>
    </xf>
    <xf numFmtId="0" fontId="49" fillId="22" borderId="84" xfId="28" applyFont="1" applyFill="1" applyBorder="1" applyAlignment="1">
      <alignment horizontal="center" vertical="center" wrapText="1"/>
      <protection/>
    </xf>
    <xf numFmtId="0" fontId="51" fillId="0" borderId="0" xfId="28" applyFont="1" applyAlignment="1">
      <alignment horizontal="center" vertical="center" wrapText="1"/>
      <protection/>
    </xf>
    <xf numFmtId="0" fontId="52" fillId="23" borderId="66" xfId="28" applyFont="1" applyFill="1" applyBorder="1" applyAlignment="1">
      <alignment horizontal="center" vertical="center" wrapText="1"/>
      <protection/>
    </xf>
    <xf numFmtId="0" fontId="51" fillId="24" borderId="66" xfId="28" applyFont="1" applyFill="1" applyBorder="1" applyAlignment="1">
      <alignment horizontal="center" vertical="center" wrapText="1"/>
      <protection/>
    </xf>
    <xf numFmtId="0" fontId="52" fillId="24" borderId="66" xfId="28" applyFont="1" applyFill="1" applyBorder="1" applyAlignment="1">
      <alignment horizontal="center" vertical="center" wrapText="1"/>
      <protection/>
    </xf>
    <xf numFmtId="0" fontId="33" fillId="24" borderId="81" xfId="28" applyFont="1" applyFill="1" applyBorder="1" applyAlignment="1">
      <alignment horizontal="center" vertical="center" wrapText="1"/>
      <protection/>
    </xf>
    <xf numFmtId="169" fontId="33" fillId="24" borderId="85" xfId="28" applyNumberFormat="1" applyFont="1" applyFill="1" applyBorder="1" applyAlignment="1">
      <alignment horizontal="center" vertical="center" wrapText="1"/>
      <protection/>
    </xf>
    <xf numFmtId="0" fontId="33" fillId="24" borderId="85" xfId="28" applyFont="1" applyFill="1" applyBorder="1" applyAlignment="1">
      <alignment horizontal="center" vertical="center" wrapText="1"/>
      <protection/>
    </xf>
    <xf numFmtId="9" fontId="33" fillId="24" borderId="85" xfId="28" applyNumberFormat="1" applyFont="1" applyFill="1" applyBorder="1" applyAlignment="1">
      <alignment horizontal="center" vertical="center" wrapText="1"/>
      <protection/>
    </xf>
    <xf numFmtId="0" fontId="1" fillId="17" borderId="72" xfId="29" applyFont="1" applyFill="1" applyBorder="1" applyAlignment="1" applyProtection="1">
      <alignment horizontal="center" vertical="center" wrapText="1"/>
      <protection hidden="1"/>
    </xf>
    <xf numFmtId="169" fontId="36" fillId="17" borderId="71" xfId="29" applyNumberFormat="1" applyFont="1" applyFill="1" applyBorder="1" applyAlignment="1" applyProtection="1">
      <alignment horizontal="center" vertical="center" wrapText="1"/>
      <protection hidden="1"/>
    </xf>
    <xf numFmtId="1" fontId="36" fillId="0" borderId="71" xfId="30" applyNumberFormat="1" applyFont="1" applyFill="1" applyBorder="1" applyAlignment="1" applyProtection="1">
      <alignment horizontal="center" vertical="center" wrapText="1"/>
      <protection/>
    </xf>
    <xf numFmtId="0" fontId="36" fillId="18" borderId="71" xfId="29" applyFont="1" applyFill="1" applyBorder="1" applyAlignment="1" applyProtection="1">
      <alignment horizontal="center" vertical="center" wrapText="1"/>
      <protection hidden="1"/>
    </xf>
    <xf numFmtId="14" fontId="36" fillId="17" borderId="71" xfId="29" applyNumberFormat="1" applyFont="1" applyFill="1" applyBorder="1" applyAlignment="1" applyProtection="1">
      <alignment horizontal="center" vertical="center" wrapText="1"/>
      <protection hidden="1"/>
    </xf>
    <xf numFmtId="0" fontId="36" fillId="17" borderId="71" xfId="29" applyFont="1" applyFill="1" applyBorder="1" applyAlignment="1" applyProtection="1">
      <alignment horizontal="center" vertical="center" wrapText="1"/>
      <protection hidden="1"/>
    </xf>
    <xf numFmtId="9" fontId="36" fillId="17" borderId="71" xfId="31" applyFont="1" applyFill="1" applyBorder="1" applyAlignment="1" applyProtection="1">
      <alignment horizontal="center" vertical="center" wrapText="1"/>
      <protection hidden="1"/>
    </xf>
    <xf numFmtId="0" fontId="1" fillId="0" borderId="71" xfId="28" applyFont="1" applyBorder="1" applyAlignment="1">
      <alignment horizontal="center" vertical="center" wrapText="1"/>
      <protection/>
    </xf>
    <xf numFmtId="0" fontId="36" fillId="17" borderId="70" xfId="29" applyFont="1" applyFill="1" applyBorder="1" applyAlignment="1" applyProtection="1">
      <alignment horizontal="center" vertical="center" wrapText="1"/>
      <protection hidden="1"/>
    </xf>
    <xf numFmtId="0" fontId="36" fillId="0" borderId="69" xfId="28" applyFont="1" applyBorder="1" applyAlignment="1">
      <alignment horizontal="center" vertical="center" wrapText="1"/>
      <protection/>
    </xf>
    <xf numFmtId="0" fontId="36" fillId="17" borderId="69" xfId="29" applyFont="1" applyFill="1" applyBorder="1" applyAlignment="1" applyProtection="1">
      <alignment horizontal="center" vertical="center" wrapText="1"/>
      <protection hidden="1"/>
    </xf>
    <xf numFmtId="0" fontId="36" fillId="17" borderId="66" xfId="29" applyFont="1" applyFill="1" applyBorder="1" applyAlignment="1" applyProtection="1">
      <alignment horizontal="center" vertical="center" wrapText="1"/>
      <protection hidden="1"/>
    </xf>
    <xf numFmtId="0" fontId="18" fillId="18" borderId="68" xfId="29" applyFont="1" applyFill="1" applyBorder="1" applyAlignment="1" applyProtection="1">
      <alignment horizontal="center" vertical="center" wrapText="1"/>
      <protection hidden="1"/>
    </xf>
    <xf numFmtId="0" fontId="18" fillId="17" borderId="68" xfId="29" applyFont="1" applyFill="1" applyBorder="1" applyAlignment="1" applyProtection="1">
      <alignment horizontal="center" vertical="center" wrapText="1"/>
      <protection hidden="1"/>
    </xf>
    <xf numFmtId="171" fontId="33" fillId="24" borderId="85" xfId="28" applyNumberFormat="1" applyFont="1" applyFill="1" applyBorder="1" applyAlignment="1">
      <alignment horizontal="center" vertical="center" wrapText="1"/>
      <protection/>
    </xf>
    <xf numFmtId="1" fontId="33" fillId="24" borderId="85" xfId="28" applyNumberFormat="1" applyFont="1" applyFill="1" applyBorder="1" applyAlignment="1">
      <alignment horizontal="center" vertical="center" wrapText="1"/>
      <protection/>
    </xf>
    <xf numFmtId="9" fontId="33" fillId="24" borderId="85" xfId="31" applyFont="1" applyFill="1" applyBorder="1" applyAlignment="1" applyProtection="1">
      <alignment horizontal="center" vertical="center" wrapText="1"/>
      <protection/>
    </xf>
    <xf numFmtId="0" fontId="36" fillId="24" borderId="85" xfId="28" applyFont="1" applyFill="1" applyBorder="1" applyAlignment="1">
      <alignment horizontal="center" vertical="center" wrapText="1"/>
      <protection/>
    </xf>
    <xf numFmtId="169" fontId="1" fillId="17" borderId="71" xfId="29" applyNumberFormat="1" applyFont="1" applyFill="1" applyBorder="1" applyAlignment="1" applyProtection="1">
      <alignment horizontal="center" vertical="center" wrapText="1"/>
      <protection hidden="1"/>
    </xf>
    <xf numFmtId="1" fontId="1" fillId="17" borderId="71" xfId="29" applyNumberFormat="1" applyFont="1" applyFill="1" applyBorder="1" applyAlignment="1" applyProtection="1">
      <alignment horizontal="center" vertical="center" wrapText="1"/>
      <protection hidden="1"/>
    </xf>
    <xf numFmtId="0" fontId="1" fillId="18" borderId="71" xfId="29" applyFont="1" applyFill="1" applyBorder="1" applyAlignment="1" applyProtection="1">
      <alignment horizontal="center" vertical="center" wrapText="1"/>
      <protection hidden="1"/>
    </xf>
    <xf numFmtId="14" fontId="1" fillId="17" borderId="71" xfId="32" applyNumberFormat="1" applyFont="1" applyFill="1" applyBorder="1" applyAlignment="1" applyProtection="1">
      <alignment horizontal="center" vertical="center" wrapText="1"/>
      <protection/>
    </xf>
    <xf numFmtId="9" fontId="1" fillId="0" borderId="76" xfId="31" applyFont="1" applyFill="1" applyBorder="1" applyAlignment="1" applyProtection="1">
      <alignment horizontal="center" vertical="center" wrapText="1"/>
      <protection/>
    </xf>
    <xf numFmtId="0" fontId="1" fillId="17" borderId="70" xfId="29" applyFont="1" applyFill="1" applyBorder="1" applyAlignment="1" applyProtection="1">
      <alignment horizontal="center" vertical="center" wrapText="1"/>
      <protection hidden="1"/>
    </xf>
    <xf numFmtId="0" fontId="36" fillId="0" borderId="66" xfId="28" applyFont="1" applyFill="1" applyBorder="1" applyAlignment="1">
      <alignment horizontal="center" vertical="center" wrapText="1"/>
      <protection/>
    </xf>
    <xf numFmtId="1" fontId="1" fillId="17" borderId="76" xfId="29" applyNumberFormat="1" applyFont="1" applyFill="1" applyBorder="1" applyAlignment="1" applyProtection="1">
      <alignment horizontal="center" vertical="center" wrapText="1"/>
      <protection hidden="1"/>
    </xf>
    <xf numFmtId="0" fontId="1" fillId="18" borderId="76" xfId="29" applyFont="1" applyFill="1" applyBorder="1" applyAlignment="1" applyProtection="1">
      <alignment horizontal="center" vertical="center" wrapText="1"/>
      <protection hidden="1"/>
    </xf>
    <xf numFmtId="14" fontId="1" fillId="17" borderId="76" xfId="32" applyNumberFormat="1" applyFont="1" applyFill="1" applyBorder="1" applyAlignment="1" applyProtection="1">
      <alignment horizontal="center" vertical="center" wrapText="1"/>
      <protection/>
    </xf>
    <xf numFmtId="14" fontId="1" fillId="17" borderId="79" xfId="32" applyNumberFormat="1" applyFont="1" applyFill="1" applyBorder="1" applyAlignment="1" applyProtection="1">
      <alignment horizontal="center" vertical="center" wrapText="1"/>
      <protection/>
    </xf>
    <xf numFmtId="0" fontId="36" fillId="0" borderId="74" xfId="28" applyFont="1" applyBorder="1" applyAlignment="1">
      <alignment horizontal="center" vertical="center" wrapText="1"/>
      <protection/>
    </xf>
    <xf numFmtId="1" fontId="1" fillId="17" borderId="73" xfId="30" applyNumberFormat="1" applyFont="1" applyFill="1" applyBorder="1" applyAlignment="1" applyProtection="1">
      <alignment horizontal="center" vertical="center" wrapText="1"/>
      <protection hidden="1"/>
    </xf>
    <xf numFmtId="0" fontId="36" fillId="0" borderId="73" xfId="28" applyFont="1" applyBorder="1" applyAlignment="1">
      <alignment horizontal="center" vertical="center" wrapText="1"/>
      <protection/>
    </xf>
    <xf numFmtId="0" fontId="36" fillId="0" borderId="86" xfId="28" applyFont="1" applyFill="1" applyBorder="1" applyAlignment="1">
      <alignment horizontal="center" vertical="center" wrapText="1"/>
      <protection/>
    </xf>
    <xf numFmtId="1" fontId="1" fillId="17" borderId="77" xfId="30" applyNumberFormat="1" applyFont="1" applyFill="1" applyBorder="1" applyAlignment="1" applyProtection="1">
      <alignment horizontal="center" vertical="center" wrapText="1"/>
      <protection hidden="1"/>
    </xf>
    <xf numFmtId="0" fontId="36" fillId="0" borderId="82" xfId="28" applyFont="1" applyBorder="1" applyAlignment="1">
      <alignment horizontal="center" vertical="center" wrapText="1"/>
      <protection/>
    </xf>
    <xf numFmtId="0" fontId="36" fillId="0" borderId="79" xfId="28" applyFont="1" applyBorder="1" applyAlignment="1">
      <alignment horizontal="center" vertical="center" wrapText="1"/>
      <protection/>
    </xf>
    <xf numFmtId="1" fontId="1" fillId="17" borderId="80" xfId="30" applyNumberFormat="1" applyFont="1" applyFill="1" applyBorder="1" applyAlignment="1" applyProtection="1">
      <alignment horizontal="center" vertical="center" wrapText="1"/>
      <protection hidden="1"/>
    </xf>
    <xf numFmtId="0" fontId="36" fillId="0" borderId="70" xfId="28" applyFont="1" applyBorder="1" applyAlignment="1">
      <alignment horizontal="center" vertical="center" wrapText="1"/>
      <protection/>
    </xf>
    <xf numFmtId="0" fontId="1" fillId="17" borderId="77" xfId="29" applyFont="1" applyFill="1" applyBorder="1" applyAlignment="1" applyProtection="1">
      <alignment horizontal="center" vertical="center" wrapText="1"/>
      <protection hidden="1"/>
    </xf>
    <xf numFmtId="0" fontId="1" fillId="17" borderId="71" xfId="29" applyFont="1" applyFill="1" applyBorder="1" applyAlignment="1" applyProtection="1">
      <alignment horizontal="center" vertical="center" wrapText="1"/>
      <protection hidden="1"/>
    </xf>
    <xf numFmtId="0" fontId="36" fillId="0" borderId="75" xfId="28" applyFont="1" applyBorder="1" applyAlignment="1">
      <alignment horizontal="center" vertical="center" wrapText="1"/>
      <protection/>
    </xf>
    <xf numFmtId="0" fontId="36" fillId="0" borderId="68" xfId="28" applyFont="1" applyFill="1" applyBorder="1" applyAlignment="1">
      <alignment horizontal="center" vertical="center" wrapText="1"/>
      <protection/>
    </xf>
    <xf numFmtId="0" fontId="54" fillId="0" borderId="0" xfId="28" applyFont="1" applyAlignment="1">
      <alignment horizontal="center" vertical="center" wrapText="1"/>
      <protection/>
    </xf>
    <xf numFmtId="0" fontId="52" fillId="19" borderId="66" xfId="29" applyFont="1" applyFill="1" applyBorder="1" applyAlignment="1" applyProtection="1">
      <alignment horizontal="center" vertical="center" wrapText="1"/>
      <protection hidden="1"/>
    </xf>
    <xf numFmtId="0" fontId="52" fillId="25" borderId="66" xfId="29" applyFont="1" applyFill="1" applyBorder="1" applyAlignment="1" applyProtection="1">
      <alignment horizontal="center" vertical="center" wrapText="1"/>
      <protection hidden="1"/>
    </xf>
    <xf numFmtId="0" fontId="52" fillId="20" borderId="66" xfId="29" applyFont="1" applyFill="1" applyBorder="1" applyAlignment="1" applyProtection="1">
      <alignment horizontal="center" vertical="center" wrapText="1"/>
      <protection hidden="1"/>
    </xf>
    <xf numFmtId="0" fontId="49" fillId="0" borderId="0" xfId="28" applyFont="1" applyBorder="1" applyAlignment="1">
      <alignment horizontal="center" vertical="center" wrapText="1"/>
      <protection/>
    </xf>
    <xf numFmtId="0" fontId="36" fillId="0" borderId="0" xfId="28" applyFont="1" applyFill="1" applyBorder="1" applyAlignment="1">
      <alignment horizontal="center" vertical="center" wrapText="1"/>
      <protection/>
    </xf>
    <xf numFmtId="0" fontId="50" fillId="0" borderId="0" xfId="28" applyFont="1" applyAlignment="1">
      <alignment horizontal="center" vertical="center" wrapText="1"/>
      <protection/>
    </xf>
    <xf numFmtId="0" fontId="54" fillId="0" borderId="0" xfId="28" applyFont="1" applyBorder="1" applyAlignment="1">
      <alignment horizontal="center" vertical="center" wrapText="1"/>
      <protection/>
    </xf>
    <xf numFmtId="0" fontId="46" fillId="0" borderId="0" xfId="28" applyFont="1" applyBorder="1" applyAlignment="1">
      <alignment horizontal="center" vertical="center" wrapText="1"/>
      <protection/>
    </xf>
    <xf numFmtId="0" fontId="53" fillId="23" borderId="66" xfId="28" applyFont="1" applyFill="1" applyBorder="1" applyAlignment="1">
      <alignment horizontal="center" vertical="center" wrapText="1"/>
      <protection/>
    </xf>
    <xf numFmtId="169" fontId="36" fillId="17" borderId="76" xfId="29" applyNumberFormat="1" applyFont="1" applyFill="1" applyBorder="1" applyAlignment="1" applyProtection="1">
      <alignment horizontal="center" vertical="center" wrapText="1"/>
      <protection hidden="1"/>
    </xf>
    <xf numFmtId="3" fontId="36" fillId="18" borderId="69" xfId="28" applyNumberFormat="1" applyFont="1" applyFill="1" applyBorder="1" applyAlignment="1">
      <alignment horizontal="center" vertical="center" wrapText="1"/>
      <protection/>
    </xf>
    <xf numFmtId="3" fontId="36" fillId="18" borderId="87" xfId="28" applyNumberFormat="1" applyFont="1" applyFill="1" applyBorder="1" applyAlignment="1">
      <alignment horizontal="center" vertical="center" wrapText="1"/>
      <protection/>
    </xf>
    <xf numFmtId="3" fontId="36" fillId="18" borderId="85" xfId="28" applyNumberFormat="1" applyFont="1" applyFill="1" applyBorder="1" applyAlignment="1">
      <alignment horizontal="center" vertical="center" wrapText="1"/>
      <protection/>
    </xf>
    <xf numFmtId="0" fontId="1" fillId="18" borderId="69" xfId="29" applyFont="1" applyFill="1" applyBorder="1" applyAlignment="1" applyProtection="1">
      <alignment horizontal="center" vertical="center" wrapText="1"/>
      <protection hidden="1"/>
    </xf>
    <xf numFmtId="0" fontId="1" fillId="18" borderId="87" xfId="29" applyFont="1" applyFill="1" applyBorder="1" applyAlignment="1" applyProtection="1">
      <alignment horizontal="center" vertical="center" wrapText="1"/>
      <protection hidden="1"/>
    </xf>
    <xf numFmtId="0" fontId="1" fillId="18" borderId="85" xfId="29" applyFont="1" applyFill="1" applyBorder="1" applyAlignment="1" applyProtection="1">
      <alignment horizontal="center" vertical="center" wrapText="1"/>
      <protection hidden="1"/>
    </xf>
    <xf numFmtId="0" fontId="1" fillId="18" borderId="88" xfId="29" applyFont="1" applyFill="1" applyBorder="1" applyAlignment="1" applyProtection="1">
      <alignment horizontal="center" vertical="center" wrapText="1"/>
      <protection hidden="1"/>
    </xf>
    <xf numFmtId="14" fontId="1" fillId="0" borderId="71" xfId="32" applyNumberFormat="1" applyFont="1" applyFill="1" applyBorder="1" applyAlignment="1" applyProtection="1">
      <alignment horizontal="center" vertical="center" wrapText="1"/>
      <protection/>
    </xf>
    <xf numFmtId="0" fontId="1" fillId="17" borderId="69" xfId="29" applyFont="1" applyFill="1" applyBorder="1" applyAlignment="1" applyProtection="1">
      <alignment horizontal="center" vertical="center" wrapText="1"/>
      <protection hidden="1"/>
    </xf>
    <xf numFmtId="9" fontId="1" fillId="17" borderId="69" xfId="29" applyNumberFormat="1" applyFont="1" applyFill="1" applyBorder="1" applyAlignment="1" applyProtection="1">
      <alignment horizontal="center" vertical="center" wrapText="1"/>
      <protection hidden="1"/>
    </xf>
    <xf numFmtId="0" fontId="1" fillId="0" borderId="87" xfId="28" applyFont="1" applyBorder="1" applyAlignment="1">
      <alignment horizontal="center" vertical="center" wrapText="1"/>
      <protection/>
    </xf>
    <xf numFmtId="0" fontId="1" fillId="0" borderId="69" xfId="28" applyFont="1" applyBorder="1" applyAlignment="1">
      <alignment horizontal="center" vertical="center" wrapText="1"/>
      <protection/>
    </xf>
    <xf numFmtId="0" fontId="36" fillId="17" borderId="89" xfId="29" applyFont="1" applyFill="1" applyBorder="1" applyAlignment="1" applyProtection="1">
      <alignment horizontal="center" vertical="center" wrapText="1"/>
      <protection hidden="1"/>
    </xf>
    <xf numFmtId="0" fontId="1" fillId="17" borderId="66" xfId="29" applyFont="1" applyFill="1" applyBorder="1" applyAlignment="1" applyProtection="1">
      <alignment horizontal="center" vertical="center" wrapText="1"/>
      <protection hidden="1"/>
    </xf>
    <xf numFmtId="169" fontId="1" fillId="17" borderId="76" xfId="29" applyNumberFormat="1" applyFont="1" applyFill="1" applyBorder="1" applyAlignment="1" applyProtection="1">
      <alignment horizontal="center" vertical="center" wrapText="1"/>
      <protection hidden="1"/>
    </xf>
    <xf numFmtId="1" fontId="1" fillId="0" borderId="71" xfId="30" applyNumberFormat="1" applyFont="1" applyFill="1" applyBorder="1" applyAlignment="1" applyProtection="1">
      <alignment horizontal="center" vertical="center" wrapText="1"/>
      <protection/>
    </xf>
    <xf numFmtId="3" fontId="1" fillId="18" borderId="73" xfId="28" applyNumberFormat="1" applyFont="1" applyFill="1" applyBorder="1" applyAlignment="1">
      <alignment horizontal="center" vertical="center" wrapText="1"/>
      <protection/>
    </xf>
    <xf numFmtId="3" fontId="1" fillId="18" borderId="74" xfId="28" applyNumberFormat="1" applyFont="1" applyFill="1" applyBorder="1" applyAlignment="1">
      <alignment horizontal="center" vertical="center" wrapText="1"/>
      <protection/>
    </xf>
    <xf numFmtId="3" fontId="1" fillId="18" borderId="90" xfId="28" applyNumberFormat="1" applyFont="1" applyFill="1" applyBorder="1" applyAlignment="1">
      <alignment horizontal="center" vertical="center" wrapText="1"/>
      <protection/>
    </xf>
    <xf numFmtId="0" fontId="1" fillId="18" borderId="73" xfId="29" applyFont="1" applyFill="1" applyBorder="1" applyAlignment="1" applyProtection="1">
      <alignment horizontal="center" vertical="center" wrapText="1"/>
      <protection hidden="1"/>
    </xf>
    <xf numFmtId="0" fontId="1" fillId="18" borderId="74" xfId="29" applyFont="1" applyFill="1" applyBorder="1" applyAlignment="1" applyProtection="1">
      <alignment horizontal="center" vertical="center" wrapText="1"/>
      <protection hidden="1"/>
    </xf>
    <xf numFmtId="0" fontId="1" fillId="18" borderId="90" xfId="29" applyFont="1" applyFill="1" applyBorder="1" applyAlignment="1" applyProtection="1">
      <alignment horizontal="center" vertical="center" wrapText="1"/>
      <protection hidden="1"/>
    </xf>
    <xf numFmtId="0" fontId="1" fillId="18" borderId="91" xfId="29" applyFont="1" applyFill="1" applyBorder="1" applyAlignment="1" applyProtection="1">
      <alignment horizontal="center" vertical="center" wrapText="1"/>
      <protection hidden="1"/>
    </xf>
    <xf numFmtId="0" fontId="19" fillId="17" borderId="69" xfId="29" applyFont="1" applyFill="1" applyBorder="1" applyAlignment="1" applyProtection="1">
      <alignment horizontal="center" vertical="center" wrapText="1"/>
      <protection hidden="1"/>
    </xf>
    <xf numFmtId="9" fontId="1" fillId="0" borderId="71" xfId="29" applyNumberFormat="1" applyFont="1" applyFill="1" applyBorder="1" applyAlignment="1" applyProtection="1">
      <alignment horizontal="center" vertical="center" wrapText="1"/>
      <protection hidden="1"/>
    </xf>
    <xf numFmtId="0" fontId="19" fillId="0" borderId="73" xfId="28" applyFont="1" applyBorder="1" applyAlignment="1">
      <alignment horizontal="center" vertical="center" wrapText="1"/>
      <protection/>
    </xf>
    <xf numFmtId="0" fontId="1" fillId="17" borderId="89" xfId="29" applyFont="1" applyFill="1" applyBorder="1" applyAlignment="1" applyProtection="1">
      <alignment horizontal="center" vertical="center" wrapText="1"/>
      <protection hidden="1"/>
    </xf>
    <xf numFmtId="0" fontId="1" fillId="17" borderId="68" xfId="29" applyFont="1" applyFill="1" applyBorder="1" applyAlignment="1" applyProtection="1">
      <alignment horizontal="center" vertical="center" wrapText="1"/>
      <protection hidden="1"/>
    </xf>
    <xf numFmtId="3" fontId="1" fillId="18" borderId="92" xfId="28" applyNumberFormat="1" applyFont="1" applyFill="1" applyBorder="1" applyAlignment="1">
      <alignment horizontal="center" vertical="center" wrapText="1"/>
      <protection/>
    </xf>
    <xf numFmtId="0" fontId="1" fillId="18" borderId="92" xfId="29" applyFont="1" applyFill="1" applyBorder="1" applyAlignment="1" applyProtection="1">
      <alignment horizontal="center" vertical="center" wrapText="1"/>
      <protection hidden="1"/>
    </xf>
    <xf numFmtId="0" fontId="1" fillId="0" borderId="83" xfId="28" applyFont="1" applyBorder="1" applyAlignment="1">
      <alignment horizontal="center" vertical="center" wrapText="1"/>
      <protection/>
    </xf>
    <xf numFmtId="0" fontId="19" fillId="0" borderId="83" xfId="28" applyFont="1" applyBorder="1" applyAlignment="1">
      <alignment horizontal="center" vertical="center" wrapText="1"/>
      <protection/>
    </xf>
    <xf numFmtId="0" fontId="1" fillId="0" borderId="93" xfId="28" applyFont="1" applyBorder="1" applyAlignment="1">
      <alignment horizontal="center" vertical="center" wrapText="1"/>
      <protection/>
    </xf>
    <xf numFmtId="0" fontId="19" fillId="0" borderId="93" xfId="28" applyFont="1" applyBorder="1" applyAlignment="1">
      <alignment horizontal="center" vertical="center" wrapText="1"/>
      <protection/>
    </xf>
    <xf numFmtId="14" fontId="1" fillId="0" borderId="92" xfId="32" applyNumberFormat="1" applyFont="1" applyFill="1" applyBorder="1" applyAlignment="1" applyProtection="1">
      <alignment horizontal="center" vertical="center" wrapText="1"/>
      <protection/>
    </xf>
    <xf numFmtId="0" fontId="1" fillId="17" borderId="92" xfId="29" applyFont="1" applyFill="1" applyBorder="1" applyAlignment="1" applyProtection="1">
      <alignment horizontal="center" vertical="center" wrapText="1"/>
      <protection hidden="1"/>
    </xf>
    <xf numFmtId="9" fontId="1" fillId="0" borderId="92" xfId="29" applyNumberFormat="1" applyFont="1" applyFill="1" applyBorder="1" applyAlignment="1" applyProtection="1">
      <alignment horizontal="center" vertical="center" wrapText="1"/>
      <protection hidden="1"/>
    </xf>
    <xf numFmtId="0" fontId="19" fillId="17" borderId="94" xfId="29" applyFont="1" applyFill="1" applyBorder="1" applyAlignment="1" applyProtection="1">
      <alignment horizontal="center" vertical="center" wrapText="1"/>
      <protection hidden="1"/>
    </xf>
    <xf numFmtId="169" fontId="1" fillId="17" borderId="92" xfId="29" applyNumberFormat="1" applyFont="1" applyFill="1" applyBorder="1" applyAlignment="1" applyProtection="1">
      <alignment horizontal="center" vertical="center" wrapText="1"/>
      <protection hidden="1"/>
    </xf>
    <xf numFmtId="169" fontId="1" fillId="17" borderId="95" xfId="33" applyNumberFormat="1" applyFont="1" applyFill="1" applyBorder="1" applyAlignment="1" applyProtection="1">
      <alignment horizontal="center" vertical="center" wrapText="1"/>
      <protection hidden="1"/>
    </xf>
    <xf numFmtId="3" fontId="1" fillId="26" borderId="71" xfId="28" applyNumberFormat="1" applyFont="1" applyFill="1" applyBorder="1" applyAlignment="1">
      <alignment horizontal="center" vertical="center" wrapText="1"/>
      <protection/>
    </xf>
    <xf numFmtId="0" fontId="1" fillId="26" borderId="71" xfId="29" applyFont="1" applyFill="1" applyBorder="1" applyAlignment="1" applyProtection="1">
      <alignment horizontal="center" vertical="center" wrapText="1"/>
      <protection hidden="1"/>
    </xf>
    <xf numFmtId="0" fontId="1" fillId="17" borderId="94" xfId="29" applyFont="1" applyFill="1" applyBorder="1" applyAlignment="1" applyProtection="1">
      <alignment horizontal="center" vertical="center" wrapText="1"/>
      <protection hidden="1"/>
    </xf>
    <xf numFmtId="0" fontId="1" fillId="17" borderId="96" xfId="29" applyFont="1" applyFill="1" applyBorder="1" applyAlignment="1" applyProtection="1">
      <alignment horizontal="center" vertical="center" wrapText="1"/>
      <protection hidden="1"/>
    </xf>
    <xf numFmtId="3" fontId="1" fillId="0" borderId="92" xfId="28" applyNumberFormat="1" applyFont="1" applyFill="1" applyBorder="1" applyAlignment="1">
      <alignment horizontal="center" vertical="center" wrapText="1"/>
      <protection/>
    </xf>
    <xf numFmtId="0" fontId="21" fillId="0" borderId="15" xfId="28" applyFont="1" applyFill="1" applyBorder="1" applyAlignment="1">
      <alignment horizontal="center" vertical="center" wrapText="1"/>
      <protection/>
    </xf>
    <xf numFmtId="3" fontId="1" fillId="18" borderId="97" xfId="28" applyNumberFormat="1" applyFont="1" applyFill="1" applyBorder="1" applyAlignment="1">
      <alignment horizontal="center" vertical="center" wrapText="1"/>
      <protection/>
    </xf>
    <xf numFmtId="0" fontId="1" fillId="18" borderId="97" xfId="29" applyFont="1" applyFill="1" applyBorder="1" applyAlignment="1" applyProtection="1">
      <alignment horizontal="center" vertical="center" wrapText="1"/>
      <protection hidden="1"/>
    </xf>
    <xf numFmtId="14" fontId="1" fillId="0" borderId="76" xfId="32" applyNumberFormat="1" applyFont="1" applyFill="1" applyBorder="1" applyAlignment="1" applyProtection="1">
      <alignment horizontal="center" vertical="center" wrapText="1"/>
      <protection/>
    </xf>
    <xf numFmtId="0" fontId="1" fillId="17" borderId="89" xfId="28" applyFont="1" applyFill="1" applyBorder="1" applyAlignment="1">
      <alignment horizontal="center" vertical="center" wrapText="1"/>
      <protection/>
    </xf>
    <xf numFmtId="0" fontId="36" fillId="17" borderId="94" xfId="29" applyFont="1" applyFill="1" applyBorder="1" applyAlignment="1" applyProtection="1">
      <alignment horizontal="center" vertical="center" wrapText="1"/>
      <protection hidden="1"/>
    </xf>
    <xf numFmtId="0" fontId="1" fillId="17" borderId="98" xfId="29" applyFont="1" applyFill="1" applyBorder="1" applyAlignment="1" applyProtection="1">
      <alignment horizontal="center" vertical="center" wrapText="1"/>
      <protection hidden="1"/>
    </xf>
    <xf numFmtId="169" fontId="1" fillId="0" borderId="99" xfId="33" applyNumberFormat="1" applyFont="1" applyFill="1" applyBorder="1" applyAlignment="1" applyProtection="1">
      <alignment horizontal="center" vertical="center" wrapText="1"/>
      <protection hidden="1"/>
    </xf>
    <xf numFmtId="3" fontId="1" fillId="18" borderId="100" xfId="28" applyNumberFormat="1" applyFont="1" applyFill="1" applyBorder="1" applyAlignment="1">
      <alignment horizontal="center" vertical="center" wrapText="1"/>
      <protection/>
    </xf>
    <xf numFmtId="0" fontId="1" fillId="18" borderId="100" xfId="29" applyFont="1" applyFill="1" applyBorder="1" applyAlignment="1" applyProtection="1">
      <alignment horizontal="center" vertical="center" wrapText="1"/>
      <protection hidden="1"/>
    </xf>
    <xf numFmtId="169" fontId="1" fillId="17" borderId="101" xfId="33" applyNumberFormat="1" applyFont="1" applyFill="1" applyBorder="1" applyAlignment="1" applyProtection="1">
      <alignment horizontal="center" vertical="center" wrapText="1"/>
      <protection hidden="1"/>
    </xf>
    <xf numFmtId="3" fontId="1" fillId="0" borderId="101" xfId="28" applyNumberFormat="1" applyFont="1" applyBorder="1" applyAlignment="1">
      <alignment horizontal="center" vertical="center" wrapText="1"/>
      <protection/>
    </xf>
    <xf numFmtId="3" fontId="1" fillId="18" borderId="101" xfId="28" applyNumberFormat="1" applyFont="1" applyFill="1" applyBorder="1" applyAlignment="1">
      <alignment horizontal="center" vertical="center" wrapText="1"/>
      <protection/>
    </xf>
    <xf numFmtId="0" fontId="1" fillId="18" borderId="101" xfId="29" applyFont="1" applyFill="1" applyBorder="1" applyAlignment="1" applyProtection="1">
      <alignment horizontal="center" vertical="center" wrapText="1"/>
      <protection hidden="1"/>
    </xf>
    <xf numFmtId="3" fontId="36" fillId="0" borderId="71" xfId="28" applyNumberFormat="1" applyFont="1" applyBorder="1" applyAlignment="1">
      <alignment horizontal="center" vertical="center" wrapText="1"/>
      <protection/>
    </xf>
    <xf numFmtId="1" fontId="36" fillId="18" borderId="92" xfId="31" applyNumberFormat="1" applyFont="1" applyFill="1" applyBorder="1" applyAlignment="1" applyProtection="1">
      <alignment horizontal="center" vertical="center" wrapText="1"/>
      <protection/>
    </xf>
    <xf numFmtId="1" fontId="36" fillId="18" borderId="102" xfId="31" applyNumberFormat="1" applyFont="1" applyFill="1" applyBorder="1" applyAlignment="1" applyProtection="1">
      <alignment horizontal="center" vertical="center" wrapText="1"/>
      <protection/>
    </xf>
    <xf numFmtId="0" fontId="36" fillId="18" borderId="103" xfId="28" applyFont="1" applyFill="1" applyBorder="1" applyAlignment="1">
      <alignment horizontal="center" vertical="center" wrapText="1"/>
      <protection/>
    </xf>
    <xf numFmtId="0" fontId="36" fillId="18" borderId="92" xfId="28" applyFont="1" applyFill="1" applyBorder="1" applyAlignment="1">
      <alignment horizontal="center" vertical="center" wrapText="1"/>
      <protection/>
    </xf>
    <xf numFmtId="0" fontId="36" fillId="18" borderId="93" xfId="28" applyFont="1" applyFill="1" applyBorder="1" applyAlignment="1">
      <alignment horizontal="center" vertical="center" wrapText="1"/>
      <protection/>
    </xf>
    <xf numFmtId="0" fontId="1" fillId="17" borderId="94" xfId="28" applyFont="1" applyFill="1" applyBorder="1" applyAlignment="1">
      <alignment horizontal="center" vertical="center" wrapText="1"/>
      <protection/>
    </xf>
    <xf numFmtId="169" fontId="1" fillId="0" borderId="71" xfId="29" applyNumberFormat="1" applyFont="1" applyFill="1" applyBorder="1" applyAlignment="1" applyProtection="1">
      <alignment horizontal="center" vertical="center" wrapText="1"/>
      <protection hidden="1"/>
    </xf>
    <xf numFmtId="3" fontId="36" fillId="0" borderId="71" xfId="28" applyNumberFormat="1" applyFont="1" applyFill="1" applyBorder="1" applyAlignment="1">
      <alignment horizontal="center" vertical="center" wrapText="1"/>
      <protection/>
    </xf>
    <xf numFmtId="0" fontId="36" fillId="18" borderId="83" xfId="28" applyFont="1" applyFill="1" applyBorder="1" applyAlignment="1">
      <alignment horizontal="center" vertical="center" wrapText="1"/>
      <protection/>
    </xf>
    <xf numFmtId="0" fontId="1" fillId="0" borderId="71" xfId="29" applyFont="1" applyFill="1" applyBorder="1" applyAlignment="1" applyProtection="1">
      <alignment horizontal="center" vertical="center" wrapText="1"/>
      <protection hidden="1"/>
    </xf>
    <xf numFmtId="0" fontId="36" fillId="18" borderId="70" xfId="28" applyFont="1" applyFill="1" applyBorder="1" applyAlignment="1">
      <alignment horizontal="center" vertical="center" wrapText="1"/>
      <protection/>
    </xf>
    <xf numFmtId="0" fontId="36" fillId="18" borderId="71" xfId="28" applyFont="1" applyFill="1" applyBorder="1" applyAlignment="1">
      <alignment horizontal="center" vertical="center" wrapText="1"/>
      <protection/>
    </xf>
    <xf numFmtId="9" fontId="36" fillId="18" borderId="79" xfId="28" applyNumberFormat="1" applyFont="1" applyFill="1" applyBorder="1" applyAlignment="1">
      <alignment horizontal="center" vertical="center" wrapText="1"/>
      <protection/>
    </xf>
    <xf numFmtId="9" fontId="1" fillId="17" borderId="89" xfId="28" applyNumberFormat="1" applyFont="1" applyFill="1" applyBorder="1" applyAlignment="1">
      <alignment horizontal="center" vertical="center" wrapText="1"/>
      <protection/>
    </xf>
    <xf numFmtId="0" fontId="1" fillId="17" borderId="66" xfId="28" applyFont="1" applyFill="1" applyBorder="1" applyAlignment="1">
      <alignment horizontal="center" vertical="center" wrapText="1"/>
      <protection/>
    </xf>
    <xf numFmtId="0" fontId="36" fillId="18" borderId="79" xfId="28" applyFont="1" applyFill="1" applyBorder="1" applyAlignment="1">
      <alignment horizontal="center" vertical="center" wrapText="1"/>
      <protection/>
    </xf>
    <xf numFmtId="0" fontId="1" fillId="0" borderId="89" xfId="28" applyFont="1" applyFill="1" applyBorder="1" applyAlignment="1">
      <alignment horizontal="center" vertical="center" wrapText="1"/>
      <protection/>
    </xf>
    <xf numFmtId="0" fontId="1" fillId="0" borderId="66" xfId="28" applyFont="1" applyFill="1" applyBorder="1" applyAlignment="1">
      <alignment horizontal="center" vertical="center" wrapText="1"/>
      <protection/>
    </xf>
    <xf numFmtId="173" fontId="36" fillId="0" borderId="76" xfId="30" applyNumberFormat="1" applyFont="1" applyFill="1" applyBorder="1" applyAlignment="1" applyProtection="1">
      <alignment horizontal="center" vertical="center" wrapText="1"/>
      <protection/>
    </xf>
    <xf numFmtId="1" fontId="36" fillId="18" borderId="76" xfId="31" applyNumberFormat="1" applyFont="1" applyFill="1" applyBorder="1" applyAlignment="1" applyProtection="1">
      <alignment horizontal="center" vertical="center" wrapText="1"/>
      <protection/>
    </xf>
    <xf numFmtId="1" fontId="36" fillId="18" borderId="75" xfId="31" applyNumberFormat="1" applyFont="1" applyFill="1" applyBorder="1" applyAlignment="1" applyProtection="1">
      <alignment horizontal="center" vertical="center" wrapText="1"/>
      <protection/>
    </xf>
    <xf numFmtId="0" fontId="36" fillId="18" borderId="104" xfId="28" applyFont="1" applyFill="1" applyBorder="1" applyAlignment="1">
      <alignment horizontal="center" vertical="center" wrapText="1"/>
      <protection/>
    </xf>
    <xf numFmtId="0" fontId="36" fillId="18" borderId="76" xfId="28" applyFont="1" applyFill="1" applyBorder="1" applyAlignment="1">
      <alignment horizontal="center" vertical="center" wrapText="1"/>
      <protection/>
    </xf>
    <xf numFmtId="0" fontId="51" fillId="27" borderId="66" xfId="28" applyFont="1" applyFill="1" applyBorder="1" applyAlignment="1">
      <alignment horizontal="center" vertical="center" wrapText="1"/>
      <protection/>
    </xf>
    <xf numFmtId="0" fontId="52" fillId="27" borderId="66" xfId="28" applyFont="1" applyFill="1" applyBorder="1" applyAlignment="1">
      <alignment horizontal="center" vertical="center" wrapText="1"/>
      <protection/>
    </xf>
    <xf numFmtId="1" fontId="36" fillId="18" borderId="77" xfId="31" applyNumberFormat="1" applyFont="1" applyFill="1" applyBorder="1" applyAlignment="1" applyProtection="1">
      <alignment horizontal="center" vertical="center" wrapText="1"/>
      <protection/>
    </xf>
    <xf numFmtId="1" fontId="36" fillId="18" borderId="71" xfId="31" applyNumberFormat="1" applyFont="1" applyFill="1" applyBorder="1" applyAlignment="1" applyProtection="1">
      <alignment horizontal="center" vertical="center" wrapText="1"/>
      <protection/>
    </xf>
    <xf numFmtId="1" fontId="36" fillId="18" borderId="105" xfId="31" applyNumberFormat="1" applyFont="1" applyFill="1" applyBorder="1" applyAlignment="1" applyProtection="1">
      <alignment horizontal="center" vertical="center" wrapText="1"/>
      <protection/>
    </xf>
    <xf numFmtId="0" fontId="36" fillId="18" borderId="95" xfId="28" applyFont="1" applyFill="1" applyBorder="1" applyAlignment="1">
      <alignment horizontal="center" vertical="center" wrapText="1"/>
      <protection/>
    </xf>
    <xf numFmtId="9" fontId="1" fillId="17" borderId="71" xfId="29" applyNumberFormat="1" applyFont="1" applyFill="1" applyBorder="1" applyAlignment="1" applyProtection="1">
      <alignment horizontal="center" vertical="center" wrapText="1"/>
      <protection hidden="1"/>
    </xf>
    <xf numFmtId="0" fontId="19" fillId="17" borderId="66" xfId="29" applyFont="1" applyFill="1" applyBorder="1" applyAlignment="1" applyProtection="1">
      <alignment horizontal="center" vertical="center" wrapText="1"/>
      <protection hidden="1"/>
    </xf>
    <xf numFmtId="0" fontId="1" fillId="0" borderId="66" xfId="29" applyFont="1" applyFill="1" applyBorder="1" applyAlignment="1" applyProtection="1">
      <alignment horizontal="center" vertical="center" wrapText="1"/>
      <protection hidden="1"/>
    </xf>
    <xf numFmtId="3" fontId="36" fillId="0" borderId="76" xfId="28" applyNumberFormat="1" applyFont="1" applyBorder="1" applyAlignment="1">
      <alignment horizontal="center" vertical="center" wrapText="1"/>
      <protection/>
    </xf>
    <xf numFmtId="0" fontId="36" fillId="0" borderId="92" xfId="28" applyFont="1" applyFill="1" applyBorder="1" applyAlignment="1">
      <alignment horizontal="center" vertical="center" wrapText="1"/>
      <protection/>
    </xf>
    <xf numFmtId="0" fontId="1" fillId="0" borderId="76" xfId="28" applyFont="1" applyFill="1" applyBorder="1" applyAlignment="1">
      <alignment horizontal="center" vertical="center" wrapText="1"/>
      <protection/>
    </xf>
    <xf numFmtId="0" fontId="36" fillId="0" borderId="93" xfId="28" applyFont="1" applyFill="1" applyBorder="1" applyAlignment="1">
      <alignment horizontal="center" vertical="center" wrapText="1"/>
      <protection/>
    </xf>
    <xf numFmtId="0" fontId="36" fillId="0" borderId="106" xfId="28" applyFont="1" applyFill="1" applyBorder="1" applyAlignment="1">
      <alignment horizontal="center" vertical="center" wrapText="1"/>
      <protection/>
    </xf>
    <xf numFmtId="0" fontId="36" fillId="0" borderId="107" xfId="28" applyFont="1" applyFill="1" applyBorder="1" applyAlignment="1">
      <alignment horizontal="center" vertical="center" wrapText="1"/>
      <protection/>
    </xf>
    <xf numFmtId="169" fontId="1" fillId="0" borderId="87" xfId="29" applyNumberFormat="1" applyFont="1" applyFill="1" applyBorder="1" applyAlignment="1" applyProtection="1">
      <alignment horizontal="center" vertical="center" wrapText="1"/>
      <protection hidden="1"/>
    </xf>
    <xf numFmtId="3" fontId="1" fillId="0" borderId="71" xfId="28" applyNumberFormat="1" applyFont="1" applyBorder="1" applyAlignment="1">
      <alignment horizontal="center" vertical="center" wrapText="1"/>
      <protection/>
    </xf>
    <xf numFmtId="14" fontId="1" fillId="17" borderId="92" xfId="32" applyNumberFormat="1" applyFont="1" applyFill="1" applyBorder="1" applyAlignment="1" applyProtection="1">
      <alignment horizontal="center" vertical="center" wrapText="1"/>
      <protection/>
    </xf>
    <xf numFmtId="0" fontId="1" fillId="0" borderId="92" xfId="28" applyFont="1" applyBorder="1" applyAlignment="1">
      <alignment horizontal="center" vertical="center" wrapText="1"/>
      <protection/>
    </xf>
    <xf numFmtId="0" fontId="1" fillId="0" borderId="76" xfId="28" applyFont="1" applyBorder="1" applyAlignment="1">
      <alignment horizontal="center" vertical="center" wrapText="1"/>
      <protection/>
    </xf>
    <xf numFmtId="0" fontId="1" fillId="0" borderId="106" xfId="28" applyFont="1" applyBorder="1" applyAlignment="1">
      <alignment horizontal="center" vertical="center" wrapText="1"/>
      <protection/>
    </xf>
    <xf numFmtId="0" fontId="56" fillId="0" borderId="0" xfId="28" applyFont="1" applyBorder="1" applyAlignment="1">
      <alignment horizontal="center" vertical="center" wrapText="1"/>
      <protection/>
    </xf>
    <xf numFmtId="169" fontId="49" fillId="0" borderId="0" xfId="28" applyNumberFormat="1" applyFont="1" applyBorder="1" applyAlignment="1">
      <alignment horizontal="center" vertical="center" wrapText="1"/>
      <protection/>
    </xf>
    <xf numFmtId="165" fontId="49" fillId="0" borderId="0" xfId="28" applyNumberFormat="1" applyFont="1" applyBorder="1" applyAlignment="1">
      <alignment horizontal="center" vertical="center" wrapText="1"/>
      <protection/>
    </xf>
    <xf numFmtId="9" fontId="49" fillId="0" borderId="0" xfId="28" applyNumberFormat="1" applyFont="1" applyBorder="1" applyAlignment="1">
      <alignment horizontal="center" vertical="center" wrapText="1"/>
      <protection/>
    </xf>
    <xf numFmtId="1" fontId="49" fillId="0" borderId="0" xfId="30" applyNumberFormat="1" applyFont="1" applyFill="1" applyBorder="1" applyAlignment="1" applyProtection="1">
      <alignment horizontal="center" vertical="center" wrapText="1"/>
      <protection/>
    </xf>
    <xf numFmtId="0" fontId="50" fillId="0" borderId="0" xfId="28" applyFont="1" applyBorder="1" applyAlignment="1">
      <alignment horizontal="center" vertical="center" wrapText="1"/>
      <protection/>
    </xf>
    <xf numFmtId="169" fontId="33" fillId="24" borderId="69" xfId="28" applyNumberFormat="1" applyFont="1" applyFill="1" applyBorder="1" applyAlignment="1">
      <alignment horizontal="center" vertical="center" wrapText="1"/>
      <protection/>
    </xf>
    <xf numFmtId="0" fontId="36" fillId="0" borderId="92" xfId="28" applyFont="1" applyBorder="1" applyAlignment="1">
      <alignment horizontal="center" vertical="center" wrapText="1"/>
      <protection/>
    </xf>
    <xf numFmtId="9" fontId="1" fillId="17" borderId="76" xfId="31" applyFont="1" applyFill="1" applyBorder="1" applyAlignment="1" applyProtection="1">
      <alignment horizontal="center" vertical="center" wrapText="1"/>
      <protection hidden="1"/>
    </xf>
    <xf numFmtId="0" fontId="36" fillId="0" borderId="93" xfId="28" applyFont="1" applyBorder="1" applyAlignment="1">
      <alignment horizontal="center" vertical="center" wrapText="1"/>
      <protection/>
    </xf>
    <xf numFmtId="0" fontId="36" fillId="0" borderId="106" xfId="28" applyFont="1" applyBorder="1" applyAlignment="1">
      <alignment horizontal="center" vertical="center" wrapText="1"/>
      <protection/>
    </xf>
    <xf numFmtId="0" fontId="18" fillId="0" borderId="106" xfId="28" applyFont="1" applyBorder="1" applyAlignment="1">
      <alignment horizontal="center" vertical="center" wrapText="1"/>
      <protection/>
    </xf>
    <xf numFmtId="0" fontId="1" fillId="0" borderId="107" xfId="28" applyFont="1" applyFill="1" applyBorder="1" applyAlignment="1">
      <alignment horizontal="center" vertical="center" wrapText="1"/>
      <protection/>
    </xf>
    <xf numFmtId="0" fontId="1" fillId="0" borderId="106" xfId="28" applyFont="1" applyBorder="1" applyAlignment="1">
      <alignment horizontal="center" vertical="center" wrapText="1"/>
      <protection/>
    </xf>
    <xf numFmtId="0" fontId="1" fillId="0" borderId="92" xfId="29" applyFont="1" applyFill="1" applyBorder="1" applyAlignment="1" applyProtection="1">
      <alignment horizontal="center" vertical="center" wrapText="1"/>
      <protection hidden="1"/>
    </xf>
    <xf numFmtId="0" fontId="1" fillId="0" borderId="97" xfId="28" applyFont="1" applyFill="1" applyBorder="1" applyAlignment="1">
      <alignment horizontal="center" vertical="center" wrapText="1"/>
      <protection/>
    </xf>
    <xf numFmtId="0" fontId="1" fillId="0" borderId="93" xfId="29" applyFont="1" applyFill="1" applyBorder="1" applyAlignment="1" applyProtection="1">
      <alignment horizontal="center" vertical="center" wrapText="1"/>
      <protection hidden="1"/>
    </xf>
    <xf numFmtId="0" fontId="1" fillId="0" borderId="107" xfId="29" applyFont="1" applyFill="1" applyBorder="1" applyAlignment="1" applyProtection="1">
      <alignment horizontal="center" vertical="center" wrapText="1"/>
      <protection hidden="1"/>
    </xf>
    <xf numFmtId="169" fontId="1" fillId="0" borderId="76" xfId="29" applyNumberFormat="1" applyFont="1" applyFill="1" applyBorder="1" applyAlignment="1" applyProtection="1">
      <alignment horizontal="center" vertical="center" wrapText="1"/>
      <protection hidden="1"/>
    </xf>
    <xf numFmtId="3" fontId="36" fillId="0" borderId="97" xfId="28" applyNumberFormat="1" applyFont="1" applyBorder="1" applyAlignment="1">
      <alignment horizontal="center" vertical="center" wrapText="1"/>
      <protection/>
    </xf>
    <xf numFmtId="0" fontId="36" fillId="0" borderId="100" xfId="28" applyFont="1" applyBorder="1" applyAlignment="1">
      <alignment horizontal="center" vertical="center" wrapText="1"/>
      <protection/>
    </xf>
    <xf numFmtId="9" fontId="1" fillId="17" borderId="101" xfId="31" applyFont="1" applyFill="1" applyBorder="1" applyAlignment="1" applyProtection="1">
      <alignment horizontal="center" vertical="center" wrapText="1"/>
      <protection hidden="1"/>
    </xf>
    <xf numFmtId="0" fontId="1" fillId="0" borderId="101" xfId="28" applyFont="1" applyBorder="1" applyAlignment="1">
      <alignment horizontal="center" vertical="center" wrapText="1"/>
      <protection/>
    </xf>
    <xf numFmtId="0" fontId="36" fillId="0" borderId="108" xfId="28" applyFont="1" applyBorder="1" applyAlignment="1">
      <alignment horizontal="center" vertical="center" wrapText="1"/>
      <protection/>
    </xf>
    <xf numFmtId="0" fontId="36" fillId="0" borderId="109" xfId="28" applyFont="1" applyBorder="1" applyAlignment="1">
      <alignment horizontal="center" vertical="center" wrapText="1"/>
      <protection/>
    </xf>
    <xf numFmtId="3" fontId="36" fillId="0" borderId="101" xfId="28" applyNumberFormat="1" applyFont="1" applyBorder="1" applyAlignment="1">
      <alignment horizontal="center" vertical="center" wrapText="1"/>
      <protection/>
    </xf>
    <xf numFmtId="14" fontId="1" fillId="17" borderId="101" xfId="32" applyNumberFormat="1" applyFont="1" applyFill="1" applyBorder="1" applyAlignment="1" applyProtection="1">
      <alignment horizontal="center" vertical="center" wrapText="1"/>
      <protection/>
    </xf>
    <xf numFmtId="0" fontId="36" fillId="0" borderId="101" xfId="28" applyFont="1" applyBorder="1" applyAlignment="1">
      <alignment horizontal="center" vertical="center" wrapText="1"/>
      <protection/>
    </xf>
    <xf numFmtId="0" fontId="36" fillId="0" borderId="110" xfId="28" applyFont="1" applyBorder="1" applyAlignment="1">
      <alignment horizontal="center" vertical="center" wrapText="1"/>
      <protection/>
    </xf>
    <xf numFmtId="0" fontId="36" fillId="0" borderId="111" xfId="28" applyFont="1" applyBorder="1" applyAlignment="1">
      <alignment horizontal="center" vertical="center" wrapText="1"/>
      <protection/>
    </xf>
    <xf numFmtId="0" fontId="36" fillId="0" borderId="112" xfId="28" applyFont="1" applyBorder="1" applyAlignment="1">
      <alignment horizontal="center" vertical="center" wrapText="1"/>
      <protection/>
    </xf>
    <xf numFmtId="0" fontId="36" fillId="0" borderId="1" xfId="28" applyFont="1" applyFill="1" applyBorder="1" applyAlignment="1">
      <alignment horizontal="center" vertical="center" wrapText="1"/>
      <protection/>
    </xf>
    <xf numFmtId="0" fontId="1" fillId="6" borderId="27" xfId="29" applyFont="1" applyFill="1" applyBorder="1" applyAlignment="1" applyProtection="1">
      <alignment horizontal="center" vertical="center" wrapText="1"/>
      <protection hidden="1"/>
    </xf>
    <xf numFmtId="166" fontId="1" fillId="6" borderId="14" xfId="29" applyNumberFormat="1" applyFont="1" applyFill="1" applyBorder="1" applyAlignment="1" applyProtection="1">
      <alignment horizontal="center" vertical="center" wrapText="1"/>
      <protection hidden="1"/>
    </xf>
    <xf numFmtId="9" fontId="19" fillId="0" borderId="11" xfId="31" applyFont="1" applyBorder="1" applyAlignment="1">
      <alignment horizontal="center" vertical="center" wrapText="1"/>
      <protection/>
    </xf>
    <xf numFmtId="9" fontId="1" fillId="5" borderId="14" xfId="31" applyFont="1" applyFill="1" applyBorder="1" applyAlignment="1" applyProtection="1">
      <alignment horizontal="center" vertical="center" wrapText="1"/>
      <protection hidden="1"/>
    </xf>
    <xf numFmtId="14" fontId="1" fillId="6" borderId="60" xfId="32" applyNumberFormat="1" applyFont="1" applyFill="1" applyBorder="1" applyAlignment="1">
      <alignment horizontal="center" vertical="center" wrapText="1"/>
      <protection/>
    </xf>
    <xf numFmtId="0" fontId="19" fillId="0" borderId="14" xfId="23" applyFont="1" applyBorder="1" applyAlignment="1">
      <alignment horizontal="center" vertical="center" wrapText="1"/>
      <protection/>
    </xf>
    <xf numFmtId="0" fontId="1" fillId="0" borderId="4" xfId="23" applyFont="1" applyBorder="1" applyAlignment="1">
      <alignment horizontal="center" vertical="center" wrapText="1"/>
      <protection/>
    </xf>
    <xf numFmtId="0" fontId="19" fillId="0" borderId="13" xfId="23" applyFont="1" applyBorder="1" applyAlignment="1">
      <alignment horizontal="center" vertical="center" wrapText="1"/>
      <protection/>
    </xf>
    <xf numFmtId="0" fontId="19" fillId="0" borderId="38" xfId="23" applyFont="1" applyBorder="1" applyAlignment="1">
      <alignment horizontal="center" vertical="center" wrapText="1"/>
      <protection/>
    </xf>
    <xf numFmtId="0" fontId="19" fillId="16" borderId="55" xfId="23" applyFont="1" applyFill="1" applyBorder="1" applyAlignment="1">
      <alignment horizontal="center" vertical="center" wrapText="1"/>
      <protection/>
    </xf>
    <xf numFmtId="0" fontId="36" fillId="0" borderId="77" xfId="28" applyFont="1" applyBorder="1" applyAlignment="1">
      <alignment horizontal="center" vertical="center" wrapText="1"/>
      <protection/>
    </xf>
    <xf numFmtId="0" fontId="36" fillId="0" borderId="113" xfId="28" applyFont="1" applyFill="1" applyBorder="1" applyAlignment="1">
      <alignment horizontal="center" vertical="center" wrapText="1"/>
      <protection/>
    </xf>
    <xf numFmtId="0" fontId="18" fillId="18" borderId="68" xfId="28" applyFont="1" applyFill="1" applyBorder="1" applyAlignment="1">
      <alignment horizontal="center" vertical="center" wrapText="1"/>
      <protection/>
    </xf>
    <xf numFmtId="0" fontId="36" fillId="18" borderId="92" xfId="28" applyNumberFormat="1" applyFont="1" applyFill="1" applyBorder="1" applyAlignment="1">
      <alignment horizontal="center" vertical="center" wrapText="1"/>
      <protection/>
    </xf>
    <xf numFmtId="0" fontId="1" fillId="17" borderId="76" xfId="29" applyFont="1" applyFill="1" applyBorder="1" applyAlignment="1" applyProtection="1">
      <alignment horizontal="center" vertical="center" wrapText="1"/>
      <protection hidden="1"/>
    </xf>
    <xf numFmtId="0" fontId="1" fillId="17" borderId="95" xfId="29" applyFont="1" applyFill="1" applyBorder="1" applyAlignment="1" applyProtection="1">
      <alignment horizontal="center" vertical="center" wrapText="1"/>
      <protection hidden="1"/>
    </xf>
    <xf numFmtId="0" fontId="1" fillId="17" borderId="82" xfId="29" applyFont="1" applyFill="1" applyBorder="1" applyAlignment="1" applyProtection="1">
      <alignment horizontal="center" vertical="center" wrapText="1"/>
      <protection hidden="1"/>
    </xf>
    <xf numFmtId="0" fontId="1" fillId="17" borderId="114" xfId="29" applyFont="1" applyFill="1" applyBorder="1" applyAlignment="1" applyProtection="1">
      <alignment horizontal="center" vertical="center" wrapText="1"/>
      <protection hidden="1"/>
    </xf>
    <xf numFmtId="3" fontId="36" fillId="0" borderId="92" xfId="28" applyNumberFormat="1" applyFont="1" applyBorder="1" applyAlignment="1">
      <alignment horizontal="center" vertical="center" wrapText="1"/>
      <protection/>
    </xf>
    <xf numFmtId="0" fontId="1" fillId="0" borderId="97" xfId="28" applyFont="1" applyBorder="1" applyAlignment="1">
      <alignment horizontal="center" vertical="center" wrapText="1"/>
      <protection/>
    </xf>
    <xf numFmtId="14" fontId="1" fillId="0" borderId="71" xfId="28" applyNumberFormat="1" applyFont="1" applyFill="1" applyBorder="1" applyAlignment="1">
      <alignment horizontal="center" vertical="center" wrapText="1"/>
      <protection/>
    </xf>
    <xf numFmtId="0" fontId="36" fillId="0" borderId="71" xfId="28" applyFont="1" applyFill="1" applyBorder="1" applyAlignment="1">
      <alignment horizontal="center" vertical="center" wrapText="1"/>
      <protection/>
    </xf>
    <xf numFmtId="0" fontId="1" fillId="0" borderId="71" xfId="28" applyFont="1" applyFill="1" applyBorder="1" applyAlignment="1">
      <alignment horizontal="center" vertical="center" wrapText="1"/>
      <protection/>
    </xf>
    <xf numFmtId="0" fontId="36" fillId="0" borderId="70" xfId="28" applyFont="1" applyFill="1" applyBorder="1" applyAlignment="1">
      <alignment horizontal="center" vertical="center" wrapText="1"/>
      <protection/>
    </xf>
    <xf numFmtId="0" fontId="36" fillId="0" borderId="77" xfId="28" applyFont="1" applyFill="1" applyBorder="1" applyAlignment="1">
      <alignment horizontal="center" vertical="center" wrapText="1"/>
      <protection/>
    </xf>
    <xf numFmtId="0" fontId="36" fillId="0" borderId="82" xfId="28" applyFont="1" applyFill="1" applyBorder="1" applyAlignment="1">
      <alignment horizontal="center" vertical="center" wrapText="1"/>
      <protection/>
    </xf>
    <xf numFmtId="0" fontId="36" fillId="0" borderId="115" xfId="28" applyFont="1" applyFill="1" applyBorder="1" applyAlignment="1">
      <alignment horizontal="center" vertical="center" wrapText="1"/>
      <protection/>
    </xf>
    <xf numFmtId="0" fontId="1" fillId="26" borderId="76" xfId="29" applyFont="1" applyFill="1" applyBorder="1" applyAlignment="1" applyProtection="1">
      <alignment horizontal="center" vertical="center" wrapText="1"/>
      <protection hidden="1"/>
    </xf>
    <xf numFmtId="0" fontId="36" fillId="6" borderId="76" xfId="28" applyFont="1" applyFill="1" applyBorder="1" applyAlignment="1">
      <alignment horizontal="center" vertical="center" wrapText="1"/>
      <protection/>
    </xf>
    <xf numFmtId="0" fontId="1" fillId="6" borderId="76" xfId="28" applyFont="1" applyFill="1" applyBorder="1" applyAlignment="1">
      <alignment horizontal="center" vertical="center" wrapText="1"/>
      <protection/>
    </xf>
    <xf numFmtId="0" fontId="36" fillId="6" borderId="80" xfId="28" applyFont="1" applyFill="1" applyBorder="1" applyAlignment="1">
      <alignment horizontal="center" vertical="center" wrapText="1"/>
      <protection/>
    </xf>
    <xf numFmtId="14" fontId="1" fillId="0" borderId="71" xfId="28" applyNumberFormat="1" applyFont="1" applyBorder="1" applyAlignment="1">
      <alignment horizontal="center" vertical="center" wrapText="1"/>
      <protection/>
    </xf>
    <xf numFmtId="9" fontId="1" fillId="0" borderId="71" xfId="31" applyFont="1" applyFill="1" applyBorder="1" applyAlignment="1" applyProtection="1">
      <alignment horizontal="center" vertical="center" wrapText="1"/>
      <protection/>
    </xf>
    <xf numFmtId="0" fontId="36" fillId="0" borderId="76" xfId="28" applyFont="1" applyFill="1" applyBorder="1" applyAlignment="1">
      <alignment horizontal="center" vertical="center" wrapText="1"/>
      <protection/>
    </xf>
    <xf numFmtId="0" fontId="36" fillId="0" borderId="79" xfId="28" applyFont="1" applyFill="1" applyBorder="1" applyAlignment="1">
      <alignment horizontal="center" vertical="center" wrapText="1"/>
      <protection/>
    </xf>
    <xf numFmtId="0" fontId="36" fillId="0" borderId="80" xfId="28" applyFont="1" applyFill="1" applyBorder="1" applyAlignment="1">
      <alignment horizontal="center" vertical="center" wrapText="1"/>
      <protection/>
    </xf>
    <xf numFmtId="0" fontId="1" fillId="6" borderId="1" xfId="28" applyFont="1" applyFill="1" applyBorder="1" applyAlignment="1">
      <alignment horizontal="center" vertical="center" wrapText="1"/>
      <protection/>
    </xf>
    <xf numFmtId="0" fontId="1" fillId="6" borderId="115" xfId="28" applyFont="1" applyFill="1" applyBorder="1" applyAlignment="1">
      <alignment horizontal="center" vertical="center" wrapText="1"/>
      <protection/>
    </xf>
    <xf numFmtId="14" fontId="1" fillId="21" borderId="76" xfId="32" applyNumberFormat="1" applyFont="1" applyFill="1" applyBorder="1" applyAlignment="1" applyProtection="1">
      <alignment horizontal="center" vertical="center" wrapText="1"/>
      <protection/>
    </xf>
    <xf numFmtId="9" fontId="1" fillId="6" borderId="71" xfId="31" applyFont="1" applyFill="1" applyBorder="1" applyAlignment="1" applyProtection="1">
      <alignment horizontal="center" vertical="center" wrapText="1"/>
      <protection/>
    </xf>
    <xf numFmtId="0" fontId="51" fillId="25" borderId="66" xfId="28" applyFont="1" applyFill="1" applyBorder="1" applyAlignment="1">
      <alignment horizontal="center" vertical="center" wrapText="1"/>
      <protection/>
    </xf>
    <xf numFmtId="0" fontId="1" fillId="0" borderId="79" xfId="28" applyFont="1" applyBorder="1" applyAlignment="1">
      <alignment horizontal="center" vertical="center" wrapText="1"/>
      <protection/>
    </xf>
    <xf numFmtId="0" fontId="1" fillId="0" borderId="66" xfId="28" applyFont="1" applyBorder="1" applyAlignment="1">
      <alignment horizontal="center" vertical="center" wrapText="1"/>
      <protection/>
    </xf>
    <xf numFmtId="0" fontId="1" fillId="0" borderId="68" xfId="28" applyFont="1" applyBorder="1" applyAlignment="1">
      <alignment horizontal="center" vertical="center" wrapText="1"/>
      <protection/>
    </xf>
    <xf numFmtId="174" fontId="49" fillId="0" borderId="0" xfId="28" applyNumberFormat="1" applyFont="1" applyBorder="1" applyAlignment="1">
      <alignment horizontal="center" vertical="center" wrapText="1"/>
      <protection/>
    </xf>
    <xf numFmtId="0" fontId="57" fillId="0" borderId="0" xfId="28" applyFont="1">
      <alignment/>
      <protection/>
    </xf>
    <xf numFmtId="174" fontId="49" fillId="0" borderId="0" xfId="28" applyNumberFormat="1" applyFont="1" applyAlignment="1">
      <alignment horizontal="center" vertical="center" wrapText="1"/>
      <protection/>
    </xf>
    <xf numFmtId="165" fontId="49" fillId="0" borderId="0" xfId="28" applyNumberFormat="1" applyFont="1" applyAlignment="1">
      <alignment horizontal="center" vertical="center" wrapText="1"/>
      <protection/>
    </xf>
    <xf numFmtId="9" fontId="49" fillId="0" borderId="0" xfId="28" applyNumberFormat="1" applyFont="1" applyAlignment="1">
      <alignment horizontal="center" vertical="center" wrapText="1"/>
      <protection/>
    </xf>
    <xf numFmtId="0" fontId="33" fillId="24" borderId="66" xfId="28" applyFont="1" applyFill="1" applyBorder="1" applyAlignment="1">
      <alignment horizontal="center" vertical="center" wrapText="1"/>
      <protection/>
    </xf>
    <xf numFmtId="1" fontId="49" fillId="0" borderId="0" xfId="32" applyNumberFormat="1" applyFont="1" applyFill="1" applyBorder="1" applyAlignment="1" applyProtection="1">
      <alignment horizontal="center" vertical="center" wrapText="1"/>
      <protection/>
    </xf>
    <xf numFmtId="0" fontId="53" fillId="28" borderId="116" xfId="28" applyFont="1" applyFill="1" applyBorder="1" applyAlignment="1">
      <alignment horizontal="center" vertical="center" wrapText="1"/>
      <protection/>
    </xf>
    <xf numFmtId="0" fontId="53" fillId="28" borderId="85" xfId="28" applyFont="1" applyFill="1" applyBorder="1" applyAlignment="1">
      <alignment horizontal="center" vertical="center" wrapText="1"/>
      <protection/>
    </xf>
    <xf numFmtId="169" fontId="53" fillId="28" borderId="70" xfId="28" applyNumberFormat="1" applyFont="1" applyFill="1" applyBorder="1" applyAlignment="1">
      <alignment horizontal="center" vertical="center" wrapText="1"/>
      <protection/>
    </xf>
    <xf numFmtId="0" fontId="53" fillId="28" borderId="96" xfId="28" applyFont="1" applyFill="1" applyBorder="1" applyAlignment="1">
      <alignment horizontal="center" vertical="center" wrapText="1"/>
      <protection/>
    </xf>
    <xf numFmtId="0" fontId="53" fillId="28" borderId="66" xfId="29" applyFont="1" applyFill="1" applyBorder="1" applyAlignment="1" applyProtection="1">
      <alignment horizontal="center" vertical="center" wrapText="1"/>
      <protection hidden="1"/>
    </xf>
    <xf numFmtId="0" fontId="53" fillId="28" borderId="90" xfId="29" applyFont="1" applyFill="1" applyBorder="1" applyAlignment="1" applyProtection="1">
      <alignment horizontal="center" vertical="center" wrapText="1"/>
      <protection hidden="1"/>
    </xf>
    <xf numFmtId="0" fontId="53" fillId="28" borderId="68" xfId="29" applyFont="1" applyFill="1" applyBorder="1" applyAlignment="1" applyProtection="1">
      <alignment horizontal="center" vertical="center" wrapText="1"/>
      <protection hidden="1"/>
    </xf>
    <xf numFmtId="0" fontId="53" fillId="28" borderId="79" xfId="29" applyFont="1" applyFill="1" applyBorder="1" applyAlignment="1" applyProtection="1">
      <alignment horizontal="center" vertical="center" wrapText="1"/>
      <protection hidden="1"/>
    </xf>
    <xf numFmtId="1" fontId="53" fillId="28" borderId="76" xfId="32" applyNumberFormat="1" applyFont="1" applyFill="1" applyBorder="1" applyAlignment="1" applyProtection="1">
      <alignment horizontal="center" vertical="center" wrapText="1"/>
      <protection hidden="1"/>
    </xf>
    <xf numFmtId="0" fontId="53" fillId="28" borderId="76" xfId="29" applyFont="1" applyFill="1" applyBorder="1" applyAlignment="1" applyProtection="1">
      <alignment horizontal="center" vertical="center" wrapText="1"/>
      <protection hidden="1"/>
    </xf>
    <xf numFmtId="9" fontId="53" fillId="28" borderId="76" xfId="29" applyNumberFormat="1" applyFont="1" applyFill="1" applyBorder="1" applyAlignment="1" applyProtection="1">
      <alignment horizontal="center" vertical="center" wrapText="1"/>
      <protection hidden="1"/>
    </xf>
    <xf numFmtId="0" fontId="53" fillId="28" borderId="76" xfId="29" applyFont="1" applyFill="1" applyBorder="1" applyAlignment="1" applyProtection="1">
      <alignment horizontal="center" vertical="center" textRotation="90" wrapText="1"/>
      <protection hidden="1"/>
    </xf>
    <xf numFmtId="169" fontId="53" fillId="28" borderId="76" xfId="29" applyNumberFormat="1" applyFont="1" applyFill="1" applyBorder="1" applyAlignment="1" applyProtection="1">
      <alignment horizontal="center" vertical="center" wrapText="1"/>
      <protection hidden="1"/>
    </xf>
    <xf numFmtId="0" fontId="53" fillId="28" borderId="117" xfId="29" applyFont="1" applyFill="1" applyBorder="1" applyAlignment="1" applyProtection="1">
      <alignment horizontal="center" vertical="center" wrapText="1"/>
      <protection hidden="1"/>
    </xf>
    <xf numFmtId="0" fontId="53" fillId="28" borderId="85" xfId="28" applyFont="1" applyFill="1" applyBorder="1" applyAlignment="1">
      <alignment vertical="center" wrapText="1"/>
      <protection/>
    </xf>
    <xf numFmtId="0" fontId="53" fillId="28" borderId="83" xfId="28" applyFont="1" applyFill="1" applyBorder="1" applyAlignment="1">
      <alignment horizontal="center" vertical="center" wrapText="1"/>
      <protection/>
    </xf>
    <xf numFmtId="169" fontId="53" fillId="28" borderId="83" xfId="28" applyNumberFormat="1" applyFont="1" applyFill="1" applyBorder="1" applyAlignment="1">
      <alignment horizontal="center" vertical="center" wrapText="1"/>
      <protection/>
    </xf>
    <xf numFmtId="0" fontId="53" fillId="28" borderId="107" xfId="28" applyFont="1" applyFill="1" applyBorder="1" applyAlignment="1">
      <alignment horizontal="center" vertical="center" wrapText="1"/>
      <protection/>
    </xf>
    <xf numFmtId="0" fontId="36" fillId="29" borderId="81" xfId="28" applyFont="1" applyFill="1" applyBorder="1" applyAlignment="1">
      <alignment horizontal="center" vertical="center" wrapText="1"/>
      <protection/>
    </xf>
    <xf numFmtId="0" fontId="36" fillId="29" borderId="70" xfId="28" applyFont="1" applyFill="1" applyBorder="1" applyAlignment="1">
      <alignment horizontal="center" vertical="center" wrapText="1"/>
      <protection/>
    </xf>
    <xf numFmtId="0" fontId="36" fillId="29" borderId="77" xfId="28" applyFont="1" applyFill="1" applyBorder="1" applyAlignment="1">
      <alignment horizontal="center" vertical="center" wrapText="1"/>
      <protection/>
    </xf>
    <xf numFmtId="0" fontId="1" fillId="29" borderId="71" xfId="28" applyFont="1" applyFill="1" applyBorder="1" applyAlignment="1">
      <alignment horizontal="center" vertical="center" wrapText="1"/>
      <protection/>
    </xf>
    <xf numFmtId="0" fontId="1" fillId="29" borderId="71" xfId="29" applyFont="1" applyFill="1" applyBorder="1" applyAlignment="1" applyProtection="1">
      <alignment horizontal="center" vertical="center" wrapText="1"/>
      <protection hidden="1"/>
    </xf>
    <xf numFmtId="0" fontId="36" fillId="29" borderId="71" xfId="28" applyFont="1" applyFill="1" applyBorder="1" applyAlignment="1">
      <alignment horizontal="center" vertical="center" wrapText="1"/>
      <protection/>
    </xf>
    <xf numFmtId="14" fontId="1" fillId="29" borderId="71" xfId="32" applyNumberFormat="1" applyFont="1" applyFill="1" applyBorder="1" applyAlignment="1" applyProtection="1">
      <alignment horizontal="center" vertical="center" wrapText="1"/>
      <protection/>
    </xf>
    <xf numFmtId="14" fontId="1" fillId="29" borderId="92" xfId="32" applyNumberFormat="1" applyFont="1" applyFill="1" applyBorder="1" applyAlignment="1" applyProtection="1">
      <alignment horizontal="center" vertical="center" wrapText="1"/>
      <protection/>
    </xf>
    <xf numFmtId="3" fontId="36" fillId="29" borderId="71" xfId="28" applyNumberFormat="1" applyFont="1" applyFill="1" applyBorder="1" applyAlignment="1">
      <alignment horizontal="center" vertical="center" wrapText="1"/>
      <protection/>
    </xf>
    <xf numFmtId="169" fontId="1" fillId="29" borderId="71" xfId="29" applyNumberFormat="1" applyFont="1" applyFill="1" applyBorder="1" applyAlignment="1" applyProtection="1">
      <alignment horizontal="center" vertical="center" wrapText="1"/>
      <protection hidden="1"/>
    </xf>
    <xf numFmtId="0" fontId="1" fillId="29" borderId="72" xfId="29" applyFont="1" applyFill="1" applyBorder="1" applyAlignment="1" applyProtection="1">
      <alignment horizontal="center" vertical="center" wrapText="1"/>
      <protection hidden="1"/>
    </xf>
    <xf numFmtId="0" fontId="36" fillId="29" borderId="107" xfId="28" applyFont="1" applyFill="1" applyBorder="1" applyAlignment="1">
      <alignment horizontal="center" vertical="center" wrapText="1"/>
      <protection/>
    </xf>
    <xf numFmtId="0" fontId="36" fillId="29" borderId="93" xfId="28" applyFont="1" applyFill="1" applyBorder="1" applyAlignment="1">
      <alignment horizontal="center" vertical="center" wrapText="1"/>
      <protection/>
    </xf>
    <xf numFmtId="0" fontId="1" fillId="29" borderId="92" xfId="29" applyFont="1" applyFill="1" applyBorder="1" applyAlignment="1" applyProtection="1">
      <alignment horizontal="center" vertical="center" wrapText="1"/>
      <protection hidden="1"/>
    </xf>
    <xf numFmtId="0" fontId="36" fillId="29" borderId="92" xfId="28" applyFont="1" applyFill="1" applyBorder="1" applyAlignment="1">
      <alignment horizontal="center" vertical="center" wrapText="1"/>
      <protection/>
    </xf>
    <xf numFmtId="169" fontId="1" fillId="29" borderId="92" xfId="29" applyNumberFormat="1" applyFont="1" applyFill="1" applyBorder="1" applyAlignment="1" applyProtection="1">
      <alignment horizontal="center" vertical="center" wrapText="1"/>
      <protection hidden="1"/>
    </xf>
    <xf numFmtId="0" fontId="36" fillId="29" borderId="106" xfId="28" applyFont="1" applyFill="1" applyBorder="1" applyAlignment="1">
      <alignment horizontal="center" vertical="center" wrapText="1"/>
      <protection/>
    </xf>
    <xf numFmtId="0" fontId="18" fillId="18" borderId="78" xfId="28" applyFont="1" applyFill="1" applyBorder="1" applyAlignment="1">
      <alignment horizontal="center" vertical="center" wrapText="1"/>
      <protection/>
    </xf>
    <xf numFmtId="0" fontId="1" fillId="29" borderId="107" xfId="28" applyFont="1" applyFill="1" applyBorder="1" applyAlignment="1">
      <alignment horizontal="center" vertical="center" wrapText="1"/>
      <protection/>
    </xf>
    <xf numFmtId="0" fontId="1" fillId="29" borderId="97" xfId="28" applyFont="1" applyFill="1" applyBorder="1" applyAlignment="1">
      <alignment horizontal="center" vertical="center" wrapText="1"/>
      <protection/>
    </xf>
    <xf numFmtId="0" fontId="1" fillId="29" borderId="96" xfId="29" applyFont="1" applyFill="1" applyBorder="1" applyAlignment="1" applyProtection="1">
      <alignment horizontal="center" vertical="center" wrapText="1"/>
      <protection hidden="1"/>
    </xf>
    <xf numFmtId="0" fontId="36" fillId="29" borderId="66" xfId="28" applyFont="1" applyFill="1" applyBorder="1" applyAlignment="1">
      <alignment horizontal="center" vertical="center" wrapText="1"/>
      <protection/>
    </xf>
    <xf numFmtId="0" fontId="1" fillId="29" borderId="76" xfId="28" applyFont="1" applyFill="1" applyBorder="1" applyAlignment="1">
      <alignment horizontal="center" vertical="center" wrapText="1"/>
      <protection/>
    </xf>
    <xf numFmtId="174" fontId="1" fillId="29" borderId="71" xfId="29" applyNumberFormat="1" applyFont="1" applyFill="1" applyBorder="1" applyAlignment="1" applyProtection="1">
      <alignment horizontal="center" vertical="center" wrapText="1"/>
      <protection hidden="1"/>
    </xf>
    <xf numFmtId="0" fontId="36" fillId="29" borderId="68" xfId="28" applyFont="1" applyFill="1" applyBorder="1" applyAlignment="1">
      <alignment horizontal="center" vertical="center" wrapText="1"/>
      <protection/>
    </xf>
    <xf numFmtId="0" fontId="36" fillId="29" borderId="79" xfId="28" applyFont="1" applyFill="1" applyBorder="1" applyAlignment="1">
      <alignment horizontal="center" vertical="center" wrapText="1"/>
      <protection/>
    </xf>
    <xf numFmtId="0" fontId="36" fillId="29" borderId="104" xfId="28" applyFont="1" applyFill="1" applyBorder="1" applyAlignment="1">
      <alignment horizontal="center" vertical="center" wrapText="1"/>
      <protection/>
    </xf>
    <xf numFmtId="0" fontId="18" fillId="18" borderId="115" xfId="28" applyFont="1" applyFill="1" applyBorder="1" applyAlignment="1">
      <alignment horizontal="center" vertical="center" wrapText="1"/>
      <protection/>
    </xf>
    <xf numFmtId="0" fontId="36" fillId="0" borderId="104" xfId="28" applyFont="1" applyFill="1" applyBorder="1" applyAlignment="1">
      <alignment horizontal="center" vertical="center" wrapText="1"/>
      <protection/>
    </xf>
    <xf numFmtId="10" fontId="1" fillId="0" borderId="71" xfId="28" applyNumberFormat="1" applyFont="1" applyBorder="1" applyAlignment="1">
      <alignment horizontal="center" vertical="center" wrapText="1"/>
      <protection/>
    </xf>
    <xf numFmtId="174" fontId="1" fillId="0" borderId="71" xfId="29" applyNumberFormat="1" applyFont="1" applyFill="1" applyBorder="1" applyAlignment="1" applyProtection="1">
      <alignment horizontal="center" vertical="center" wrapText="1"/>
      <protection hidden="1"/>
    </xf>
    <xf numFmtId="0" fontId="1" fillId="0" borderId="72" xfId="29" applyFont="1" applyFill="1" applyBorder="1" applyAlignment="1" applyProtection="1">
      <alignment horizontal="center" vertical="center" wrapText="1"/>
      <protection hidden="1"/>
    </xf>
    <xf numFmtId="0" fontId="1" fillId="0" borderId="115" xfId="28" applyFont="1" applyFill="1" applyBorder="1" applyAlignment="1">
      <alignment horizontal="center" vertical="center" wrapText="1"/>
      <protection/>
    </xf>
    <xf numFmtId="0" fontId="1" fillId="17" borderId="117" xfId="29" applyFont="1" applyFill="1" applyBorder="1" applyAlignment="1" applyProtection="1">
      <alignment horizontal="center" vertical="center" wrapText="1"/>
      <protection hidden="1"/>
    </xf>
    <xf numFmtId="10" fontId="33" fillId="24" borderId="85" xfId="28" applyNumberFormat="1" applyFont="1" applyFill="1" applyBorder="1" applyAlignment="1">
      <alignment horizontal="center" vertical="center" wrapText="1"/>
      <protection/>
    </xf>
    <xf numFmtId="10" fontId="1" fillId="17" borderId="76" xfId="31" applyNumberFormat="1" applyFont="1" applyFill="1" applyBorder="1" applyAlignment="1" applyProtection="1">
      <alignment horizontal="center" vertical="center" wrapText="1"/>
      <protection hidden="1"/>
    </xf>
    <xf numFmtId="0" fontId="1" fillId="17" borderId="81" xfId="29" applyFont="1" applyFill="1" applyBorder="1" applyAlignment="1" applyProtection="1">
      <alignment horizontal="center" vertical="center" wrapText="1"/>
      <protection hidden="1"/>
    </xf>
    <xf numFmtId="0" fontId="1" fillId="0" borderId="70" xfId="28" applyFont="1" applyBorder="1" applyAlignment="1">
      <alignment horizontal="center" vertical="center" wrapText="1"/>
      <protection/>
    </xf>
    <xf numFmtId="3" fontId="1" fillId="18" borderId="71" xfId="28" applyNumberFormat="1" applyFont="1" applyFill="1" applyBorder="1" applyAlignment="1">
      <alignment horizontal="center" vertical="center" wrapText="1"/>
      <protection/>
    </xf>
    <xf numFmtId="1" fontId="1" fillId="18" borderId="71" xfId="28" applyNumberFormat="1" applyFont="1" applyFill="1" applyBorder="1" applyAlignment="1">
      <alignment horizontal="center" vertical="center" wrapText="1"/>
      <protection/>
    </xf>
    <xf numFmtId="1" fontId="1" fillId="0" borderId="71" xfId="32" applyNumberFormat="1" applyFont="1" applyFill="1" applyBorder="1" applyAlignment="1" applyProtection="1">
      <alignment horizontal="center" vertical="center" wrapText="1"/>
      <protection/>
    </xf>
    <xf numFmtId="169" fontId="1" fillId="17" borderId="102" xfId="29" applyNumberFormat="1" applyFont="1" applyFill="1" applyBorder="1" applyAlignment="1" applyProtection="1">
      <alignment horizontal="center" vertical="center" wrapText="1"/>
      <protection hidden="1"/>
    </xf>
    <xf numFmtId="0" fontId="1" fillId="0" borderId="81" xfId="29" applyFont="1" applyFill="1" applyBorder="1" applyAlignment="1" applyProtection="1">
      <alignment horizontal="center" vertical="center" wrapText="1"/>
      <protection hidden="1"/>
    </xf>
    <xf numFmtId="0" fontId="36" fillId="0" borderId="118" xfId="28" applyFont="1" applyFill="1" applyBorder="1" applyAlignment="1">
      <alignment horizontal="center" vertical="center" wrapText="1"/>
      <protection/>
    </xf>
    <xf numFmtId="169" fontId="1" fillId="0" borderId="92" xfId="29" applyNumberFormat="1" applyFont="1" applyFill="1" applyBorder="1" applyAlignment="1" applyProtection="1">
      <alignment horizontal="center" vertical="center" wrapText="1"/>
      <protection hidden="1"/>
    </xf>
    <xf numFmtId="0" fontId="1" fillId="0" borderId="96" xfId="29" applyFont="1" applyFill="1" applyBorder="1" applyAlignment="1" applyProtection="1">
      <alignment horizontal="center" vertical="center" wrapText="1"/>
      <protection hidden="1"/>
    </xf>
    <xf numFmtId="0" fontId="33" fillId="30" borderId="68" xfId="28" applyFont="1" applyFill="1" applyBorder="1" applyAlignment="1">
      <alignment horizontal="center" vertical="center" wrapText="1"/>
      <protection/>
    </xf>
    <xf numFmtId="0" fontId="36" fillId="0" borderId="81" xfId="28" applyFont="1" applyFill="1" applyBorder="1" applyAlignment="1">
      <alignment horizontal="center" vertical="center" wrapText="1"/>
      <protection/>
    </xf>
    <xf numFmtId="9" fontId="1" fillId="0" borderId="71" xfId="31" applyNumberFormat="1" applyFont="1" applyFill="1" applyBorder="1" applyAlignment="1" applyProtection="1">
      <alignment horizontal="center" vertical="center" wrapText="1"/>
      <protection hidden="1"/>
    </xf>
    <xf numFmtId="3" fontId="36" fillId="0" borderId="92" xfId="28" applyNumberFormat="1" applyFont="1" applyFill="1" applyBorder="1" applyAlignment="1">
      <alignment horizontal="center" vertical="center" wrapText="1"/>
      <protection/>
    </xf>
    <xf numFmtId="0" fontId="51" fillId="6" borderId="0" xfId="28" applyFont="1" applyFill="1" applyAlignment="1">
      <alignment horizontal="center" vertical="center" wrapText="1"/>
      <protection/>
    </xf>
    <xf numFmtId="0" fontId="1" fillId="0" borderId="117" xfId="29" applyFont="1" applyFill="1" applyBorder="1" applyAlignment="1" applyProtection="1">
      <alignment horizontal="center" vertical="center" wrapText="1"/>
      <protection hidden="1"/>
    </xf>
    <xf numFmtId="0" fontId="21" fillId="0" borderId="0" xfId="28" applyFont="1" applyFill="1" applyAlignment="1">
      <alignment horizontal="center" vertical="center" wrapText="1"/>
      <protection/>
    </xf>
    <xf numFmtId="0" fontId="1" fillId="0" borderId="77" xfId="29" applyFont="1" applyFill="1" applyBorder="1" applyAlignment="1" applyProtection="1">
      <alignment horizontal="center" vertical="center" wrapText="1"/>
      <protection hidden="1"/>
    </xf>
    <xf numFmtId="1" fontId="1" fillId="0" borderId="71" xfId="29" applyNumberFormat="1" applyFont="1" applyFill="1" applyBorder="1" applyAlignment="1" applyProtection="1">
      <alignment horizontal="center" vertical="center" wrapText="1"/>
      <protection hidden="1"/>
    </xf>
    <xf numFmtId="1" fontId="1" fillId="0" borderId="80" xfId="32" applyNumberFormat="1" applyFont="1" applyFill="1" applyBorder="1" applyAlignment="1" applyProtection="1">
      <alignment horizontal="center" vertical="center" wrapText="1"/>
      <protection hidden="1"/>
    </xf>
    <xf numFmtId="1" fontId="1" fillId="0" borderId="76" xfId="29" applyNumberFormat="1" applyFont="1" applyFill="1" applyBorder="1" applyAlignment="1" applyProtection="1">
      <alignment horizontal="center" vertical="center" wrapText="1"/>
      <protection hidden="1"/>
    </xf>
    <xf numFmtId="1" fontId="1" fillId="0" borderId="77" xfId="32" applyNumberFormat="1" applyFont="1" applyFill="1" applyBorder="1" applyAlignment="1" applyProtection="1">
      <alignment horizontal="center" vertical="center" wrapText="1"/>
      <protection hidden="1"/>
    </xf>
    <xf numFmtId="0" fontId="1" fillId="0" borderId="70" xfId="29" applyFont="1" applyFill="1" applyBorder="1" applyAlignment="1" applyProtection="1">
      <alignment horizontal="center" vertical="center" wrapText="1"/>
      <protection hidden="1"/>
    </xf>
    <xf numFmtId="1" fontId="1" fillId="0" borderId="73" xfId="32" applyNumberFormat="1" applyFont="1" applyFill="1" applyBorder="1" applyAlignment="1" applyProtection="1">
      <alignment horizontal="center" vertical="center" wrapText="1"/>
      <protection hidden="1"/>
    </xf>
    <xf numFmtId="14" fontId="1" fillId="0" borderId="79" xfId="32" applyNumberFormat="1" applyFont="1" applyFill="1" applyBorder="1" applyAlignment="1" applyProtection="1">
      <alignment horizontal="center" vertical="center" wrapText="1"/>
      <protection/>
    </xf>
    <xf numFmtId="0" fontId="33" fillId="7" borderId="85" xfId="28" applyFont="1" applyFill="1" applyBorder="1" applyAlignment="1">
      <alignment horizontal="center" vertical="center" wrapText="1"/>
      <protection/>
    </xf>
    <xf numFmtId="0" fontId="36" fillId="7" borderId="85" xfId="28" applyFont="1" applyFill="1" applyBorder="1" applyAlignment="1">
      <alignment horizontal="center" vertical="center" wrapText="1"/>
      <protection/>
    </xf>
    <xf numFmtId="9" fontId="33" fillId="7" borderId="85" xfId="31" applyFont="1" applyFill="1" applyBorder="1" applyAlignment="1" applyProtection="1">
      <alignment horizontal="center" vertical="center" wrapText="1"/>
      <protection/>
    </xf>
    <xf numFmtId="1" fontId="33" fillId="7" borderId="85" xfId="28" applyNumberFormat="1" applyFont="1" applyFill="1" applyBorder="1" applyAlignment="1">
      <alignment horizontal="center" vertical="center" wrapText="1"/>
      <protection/>
    </xf>
    <xf numFmtId="171" fontId="33" fillId="7" borderId="85" xfId="28" applyNumberFormat="1" applyFont="1" applyFill="1" applyBorder="1" applyAlignment="1">
      <alignment horizontal="center" vertical="center" wrapText="1"/>
      <protection/>
    </xf>
    <xf numFmtId="0" fontId="33" fillId="7" borderId="81" xfId="28" applyFont="1" applyFill="1" applyBorder="1" applyAlignment="1">
      <alignment horizontal="center" vertical="center" wrapText="1"/>
      <protection/>
    </xf>
    <xf numFmtId="0" fontId="51" fillId="0" borderId="0" xfId="28" applyFont="1" applyFill="1" applyAlignment="1">
      <alignment horizontal="center" vertical="center" wrapText="1"/>
      <protection/>
    </xf>
    <xf numFmtId="0" fontId="36" fillId="0" borderId="66" xfId="29" applyFont="1" applyFill="1" applyBorder="1" applyAlignment="1" applyProtection="1">
      <alignment horizontal="center" vertical="center" wrapText="1"/>
      <protection hidden="1"/>
    </xf>
    <xf numFmtId="0" fontId="36" fillId="0" borderId="69" xfId="29" applyFont="1" applyFill="1" applyBorder="1" applyAlignment="1" applyProtection="1">
      <alignment horizontal="center" vertical="center" wrapText="1"/>
      <protection hidden="1"/>
    </xf>
    <xf numFmtId="14" fontId="36" fillId="0" borderId="71" xfId="29" applyNumberFormat="1" applyFont="1" applyFill="1" applyBorder="1" applyAlignment="1" applyProtection="1">
      <alignment horizontal="center" vertical="center" wrapText="1"/>
      <protection hidden="1"/>
    </xf>
    <xf numFmtId="1" fontId="36" fillId="0" borderId="71" xfId="32" applyNumberFormat="1" applyFont="1" applyFill="1" applyBorder="1" applyAlignment="1" applyProtection="1">
      <alignment horizontal="center" vertical="center" wrapText="1"/>
      <protection/>
    </xf>
    <xf numFmtId="169" fontId="36" fillId="0" borderId="71" xfId="29" applyNumberFormat="1" applyFont="1" applyFill="1" applyBorder="1" applyAlignment="1" applyProtection="1">
      <alignment horizontal="center" vertical="center" wrapText="1"/>
      <protection hidden="1"/>
    </xf>
    <xf numFmtId="0" fontId="33" fillId="0" borderId="0" xfId="28" applyFont="1" applyAlignment="1">
      <alignment horizontal="center" vertical="center" wrapText="1"/>
      <protection/>
    </xf>
    <xf numFmtId="1" fontId="49" fillId="22" borderId="83" xfId="32" applyNumberFormat="1" applyFont="1" applyFill="1" applyBorder="1" applyAlignment="1" applyProtection="1">
      <alignment horizontal="center" vertical="center" wrapText="1"/>
      <protection/>
    </xf>
    <xf numFmtId="0" fontId="53" fillId="28" borderId="85" xfId="29" applyFont="1" applyFill="1" applyBorder="1" applyAlignment="1" applyProtection="1">
      <alignment horizontal="center" vertical="center" wrapText="1"/>
      <protection hidden="1"/>
    </xf>
    <xf numFmtId="0" fontId="53" fillId="28" borderId="72" xfId="29" applyFont="1" applyFill="1" applyBorder="1" applyAlignment="1" applyProtection="1">
      <alignment horizontal="center" vertical="center" wrapText="1"/>
      <protection hidden="1"/>
    </xf>
    <xf numFmtId="0" fontId="53" fillId="28" borderId="72" xfId="29" applyFont="1" applyFill="1" applyBorder="1" applyAlignment="1" applyProtection="1">
      <alignment horizontal="center" vertical="center" textRotation="90" wrapText="1"/>
      <protection hidden="1"/>
    </xf>
    <xf numFmtId="169" fontId="53" fillId="28" borderId="72" xfId="29" applyNumberFormat="1" applyFont="1" applyFill="1" applyBorder="1" applyAlignment="1" applyProtection="1">
      <alignment horizontal="center" vertical="center" wrapText="1"/>
      <protection hidden="1"/>
    </xf>
    <xf numFmtId="0" fontId="36" fillId="0" borderId="119" xfId="28" applyFont="1" applyFill="1" applyBorder="1" applyAlignment="1">
      <alignment horizontal="center" vertical="center" wrapText="1"/>
      <protection/>
    </xf>
    <xf numFmtId="0" fontId="19" fillId="16" borderId="1" xfId="23" applyFont="1" applyFill="1" applyBorder="1" applyAlignment="1">
      <alignment horizontal="center" vertical="center" wrapText="1"/>
      <protection/>
    </xf>
    <xf numFmtId="0" fontId="8"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31" borderId="19"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8" fillId="5" borderId="55"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9" fillId="0" borderId="0" xfId="0" applyFont="1" applyBorder="1" applyAlignment="1">
      <alignment horizontal="center" vertical="center" wrapText="1"/>
    </xf>
    <xf numFmtId="0" fontId="1" fillId="6" borderId="12" xfId="23" applyFont="1" applyFill="1" applyBorder="1" applyAlignment="1" applyProtection="1">
      <alignment horizontal="center" vertical="center" wrapText="1"/>
      <protection hidden="1"/>
    </xf>
    <xf numFmtId="0" fontId="18" fillId="5" borderId="55"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5" borderId="20" xfId="23" applyFont="1" applyFill="1" applyBorder="1" applyAlignment="1" applyProtection="1">
      <alignment horizontal="center" vertical="center" wrapText="1"/>
      <protection hidden="1"/>
    </xf>
    <xf numFmtId="0" fontId="1" fillId="6" borderId="6" xfId="0" applyFont="1" applyFill="1" applyBorder="1" applyAlignment="1">
      <alignment horizontal="center" vertical="center" wrapText="1"/>
    </xf>
    <xf numFmtId="0" fontId="19" fillId="0" borderId="0" xfId="0" applyFont="1" applyAlignment="1">
      <alignment horizontal="left" vertical="center" wrapText="1"/>
    </xf>
    <xf numFmtId="0" fontId="0" fillId="0" borderId="0" xfId="0" applyAlignment="1">
      <alignment horizontal="center" vertical="center"/>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 fillId="0" borderId="6" xfId="23" applyFont="1" applyFill="1" applyBorder="1" applyAlignment="1" applyProtection="1">
      <alignment horizontal="center" vertical="center" wrapText="1"/>
      <protection hidden="1"/>
    </xf>
    <xf numFmtId="0" fontId="17" fillId="7" borderId="19" xfId="0" applyFont="1" applyFill="1" applyBorder="1" applyAlignment="1">
      <alignment horizontal="center" vertical="center" wrapText="1"/>
    </xf>
    <xf numFmtId="0" fontId="0" fillId="0" borderId="0" xfId="0" applyAlignment="1">
      <alignment horizontal="center" vertical="center"/>
    </xf>
    <xf numFmtId="0" fontId="13" fillId="2" borderId="55" xfId="23" applyFont="1" applyFill="1" applyBorder="1" applyAlignment="1" applyProtection="1">
      <alignment horizontal="center" vertical="center" wrapText="1"/>
      <protection hidden="1"/>
    </xf>
    <xf numFmtId="0" fontId="62" fillId="3" borderId="11" xfId="23" applyFont="1" applyFill="1" applyBorder="1" applyAlignment="1" applyProtection="1">
      <alignment horizontal="center" vertical="center" wrapText="1"/>
      <protection locked="0"/>
    </xf>
    <xf numFmtId="175" fontId="42" fillId="3" borderId="1" xfId="0" applyNumberFormat="1" applyFont="1" applyFill="1" applyBorder="1" applyAlignment="1" applyProtection="1">
      <alignment horizontal="center" vertical="center" wrapText="1"/>
      <protection locked="0"/>
    </xf>
    <xf numFmtId="0" fontId="62" fillId="3" borderId="4" xfId="23" applyFont="1" applyFill="1" applyBorder="1" applyAlignment="1" applyProtection="1">
      <alignment horizontal="center" vertical="center" wrapText="1"/>
      <protection locked="0"/>
    </xf>
    <xf numFmtId="9" fontId="62" fillId="3" borderId="4" xfId="22" applyFont="1" applyFill="1" applyBorder="1" applyAlignment="1" applyProtection="1">
      <alignment horizontal="center" vertical="center" wrapText="1"/>
      <protection locked="0"/>
    </xf>
    <xf numFmtId="9" fontId="42" fillId="15" borderId="66" xfId="28" applyNumberFormat="1" applyFont="1" applyFill="1" applyBorder="1" applyAlignment="1" applyProtection="1">
      <alignment horizontal="center" vertical="center" wrapText="1"/>
      <protection/>
    </xf>
    <xf numFmtId="0" fontId="63" fillId="7" borderId="20" xfId="0" applyFont="1" applyFill="1" applyBorder="1" applyAlignment="1" applyProtection="1">
      <alignment horizontal="center" vertical="center" wrapText="1"/>
      <protection locked="0"/>
    </xf>
    <xf numFmtId="175" fontId="43" fillId="7" borderId="1" xfId="0" applyNumberFormat="1" applyFont="1" applyFill="1" applyBorder="1" applyAlignment="1" applyProtection="1">
      <alignment horizontal="center" vertical="center" wrapText="1"/>
      <protection locked="0"/>
    </xf>
    <xf numFmtId="9" fontId="62" fillId="3" borderId="11" xfId="22" applyFont="1" applyFill="1" applyBorder="1" applyAlignment="1" applyProtection="1">
      <alignment horizontal="center" vertical="center" wrapText="1"/>
      <protection locked="0"/>
    </xf>
    <xf numFmtId="0" fontId="13" fillId="7" borderId="1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26" fillId="0" borderId="0" xfId="0" applyFont="1" applyBorder="1" applyAlignment="1">
      <alignment horizontal="center" vertical="center" wrapText="1"/>
    </xf>
    <xf numFmtId="0" fontId="12" fillId="31" borderId="19" xfId="0" applyFont="1" applyFill="1" applyBorder="1" applyAlignment="1">
      <alignment horizontal="center" vertical="center" wrapText="1"/>
    </xf>
    <xf numFmtId="0" fontId="28" fillId="0" borderId="0" xfId="0" applyFont="1" applyBorder="1" applyAlignment="1">
      <alignment horizontal="center" vertical="center" wrapText="1"/>
    </xf>
    <xf numFmtId="166" fontId="1" fillId="14" borderId="11" xfId="23" applyNumberFormat="1" applyFont="1" applyFill="1" applyBorder="1" applyAlignment="1" applyProtection="1">
      <alignment horizontal="center" vertical="center" wrapText="1"/>
      <protection hidden="1"/>
    </xf>
    <xf numFmtId="44" fontId="1" fillId="3" borderId="27" xfId="21" applyFont="1" applyFill="1" applyBorder="1" applyAlignment="1" applyProtection="1">
      <alignment horizontal="center" vertical="center" wrapText="1"/>
      <protection hidden="1"/>
    </xf>
    <xf numFmtId="9" fontId="62" fillId="3" borderId="14" xfId="22" applyFont="1" applyFill="1" applyBorder="1" applyAlignment="1" applyProtection="1">
      <alignment horizontal="center" vertical="center" wrapText="1"/>
      <protection locked="0"/>
    </xf>
    <xf numFmtId="9" fontId="42" fillId="3" borderId="1" xfId="22" applyFont="1" applyFill="1" applyBorder="1" applyAlignment="1" applyProtection="1">
      <alignment horizontal="center" vertical="center" wrapText="1"/>
      <protection/>
    </xf>
    <xf numFmtId="0" fontId="62" fillId="3" borderId="11" xfId="0" applyNumberFormat="1" applyFont="1" applyFill="1" applyBorder="1" applyAlignment="1" applyProtection="1">
      <alignment horizontal="center" vertical="center" wrapText="1"/>
      <protection locked="0"/>
    </xf>
    <xf numFmtId="0" fontId="62" fillId="3" borderId="14" xfId="0" applyNumberFormat="1" applyFont="1" applyFill="1" applyBorder="1" applyAlignment="1" applyProtection="1">
      <alignment horizontal="center" vertical="center" wrapText="1"/>
      <protection locked="0"/>
    </xf>
    <xf numFmtId="0" fontId="64" fillId="32" borderId="1" xfId="0" applyFont="1" applyFill="1" applyBorder="1" applyAlignment="1">
      <alignment horizontal="center" vertical="center" wrapText="1"/>
    </xf>
    <xf numFmtId="0" fontId="64" fillId="32" borderId="12" xfId="0" applyFont="1" applyFill="1" applyBorder="1" applyAlignment="1">
      <alignment horizontal="center" vertical="center" wrapText="1"/>
    </xf>
    <xf numFmtId="0" fontId="62" fillId="3" borderId="14" xfId="0" applyNumberFormat="1" applyFont="1" applyFill="1" applyBorder="1" applyAlignment="1" applyProtection="1">
      <alignment horizontal="center" vertical="center" wrapText="1"/>
      <protection locked="0"/>
    </xf>
    <xf numFmtId="0" fontId="62" fillId="3" borderId="11" xfId="0" applyFont="1" applyFill="1" applyBorder="1" applyAlignment="1" applyProtection="1">
      <alignment horizontal="center" vertical="center" wrapText="1"/>
      <protection locked="0"/>
    </xf>
    <xf numFmtId="9" fontId="62" fillId="3" borderId="14" xfId="22" applyFont="1" applyFill="1" applyBorder="1" applyAlignment="1" applyProtection="1">
      <alignment horizontal="center" vertical="center" wrapText="1"/>
      <protection locked="0"/>
    </xf>
    <xf numFmtId="9" fontId="62" fillId="3" borderId="11" xfId="22" applyFont="1" applyFill="1" applyBorder="1" applyAlignment="1" applyProtection="1">
      <alignment horizontal="center" vertical="center" wrapText="1"/>
      <protection locked="0"/>
    </xf>
    <xf numFmtId="0" fontId="62" fillId="3" borderId="11" xfId="23" applyFont="1" applyFill="1" applyBorder="1" applyAlignment="1" applyProtection="1">
      <alignment horizontal="center" vertical="center" wrapText="1"/>
      <protection locked="0"/>
    </xf>
    <xf numFmtId="0" fontId="62" fillId="3" borderId="3" xfId="0" applyFont="1" applyFill="1" applyBorder="1" applyAlignment="1" applyProtection="1">
      <alignment horizontal="center" vertical="center" wrapText="1"/>
      <protection locked="0"/>
    </xf>
    <xf numFmtId="9" fontId="62" fillId="3" borderId="4" xfId="22" applyFont="1" applyFill="1" applyBorder="1" applyAlignment="1" applyProtection="1">
      <alignment horizontal="center" vertical="center" wrapText="1"/>
      <protection locked="0"/>
    </xf>
    <xf numFmtId="9" fontId="62" fillId="3" borderId="3" xfId="22" applyFont="1" applyFill="1" applyBorder="1" applyAlignment="1" applyProtection="1">
      <alignment horizontal="center" vertical="center" wrapText="1"/>
      <protection locked="0"/>
    </xf>
    <xf numFmtId="0" fontId="62" fillId="3" borderId="4" xfId="0" applyFont="1" applyFill="1" applyBorder="1" applyAlignment="1" applyProtection="1">
      <alignment horizontal="center" vertical="center" wrapText="1"/>
      <protection locked="0"/>
    </xf>
    <xf numFmtId="37" fontId="62" fillId="3" borderId="11" xfId="20" applyNumberFormat="1" applyFont="1" applyFill="1" applyBorder="1" applyAlignment="1" applyProtection="1">
      <alignment horizontal="center" vertical="center" wrapText="1"/>
      <protection locked="0"/>
    </xf>
    <xf numFmtId="0" fontId="62" fillId="3" borderId="11" xfId="23" applyNumberFormat="1" applyFont="1" applyFill="1" applyBorder="1" applyAlignment="1" applyProtection="1">
      <alignment horizontal="center" vertical="center" wrapText="1"/>
      <protection locked="0"/>
    </xf>
    <xf numFmtId="0" fontId="62" fillId="3" borderId="4" xfId="23" applyFont="1" applyFill="1" applyBorder="1" applyAlignment="1" applyProtection="1">
      <alignment horizontal="center" vertical="center" wrapText="1"/>
      <protection locked="0"/>
    </xf>
    <xf numFmtId="1" fontId="1" fillId="5" borderId="36" xfId="23" applyNumberFormat="1" applyFont="1" applyFill="1" applyBorder="1" applyAlignment="1" applyProtection="1">
      <alignment horizontal="center" vertical="center" wrapText="1"/>
      <protection hidden="1"/>
    </xf>
    <xf numFmtId="1" fontId="1" fillId="5" borderId="36" xfId="22" applyNumberFormat="1" applyFont="1" applyFill="1" applyBorder="1" applyAlignment="1" applyProtection="1">
      <alignment horizontal="center" vertical="center" wrapText="1"/>
      <protection hidden="1"/>
    </xf>
    <xf numFmtId="0" fontId="1" fillId="6" borderId="41" xfId="23" applyFont="1" applyFill="1" applyBorder="1" applyAlignment="1" applyProtection="1">
      <alignment horizontal="center" vertical="center" wrapText="1"/>
      <protection hidden="1"/>
    </xf>
    <xf numFmtId="1" fontId="62" fillId="3" borderId="10" xfId="22" applyNumberFormat="1" applyFont="1" applyFill="1" applyBorder="1" applyAlignment="1" applyProtection="1">
      <alignment horizontal="center" vertical="center" wrapText="1"/>
      <protection locked="0"/>
    </xf>
    <xf numFmtId="0" fontId="42" fillId="3" borderId="1" xfId="20" applyNumberFormat="1" applyFont="1" applyFill="1" applyBorder="1" applyAlignment="1">
      <alignment horizontal="center" vertical="center" wrapText="1"/>
    </xf>
    <xf numFmtId="0" fontId="41" fillId="15" borderId="66" xfId="20" applyNumberFormat="1" applyFont="1" applyFill="1" applyBorder="1" applyAlignment="1" applyProtection="1">
      <alignment horizontal="center" vertical="center" wrapText="1"/>
      <protection/>
    </xf>
    <xf numFmtId="0" fontId="1" fillId="6" borderId="39" xfId="23" applyFont="1" applyFill="1" applyBorder="1" applyAlignment="1" applyProtection="1">
      <alignment horizontal="center" vertical="center" wrapText="1"/>
      <protection hidden="1"/>
    </xf>
    <xf numFmtId="0" fontId="32" fillId="4" borderId="10" xfId="23" applyFont="1" applyFill="1" applyBorder="1" applyAlignment="1" applyProtection="1">
      <alignment horizontal="center" vertical="center" wrapText="1"/>
      <protection locked="0"/>
    </xf>
    <xf numFmtId="9" fontId="62" fillId="3" borderId="36" xfId="22" applyFont="1" applyFill="1" applyBorder="1" applyAlignment="1" applyProtection="1">
      <alignment horizontal="center" vertical="center" wrapText="1"/>
      <protection locked="0"/>
    </xf>
    <xf numFmtId="9" fontId="62" fillId="3" borderId="36" xfId="23" applyNumberFormat="1" applyFont="1" applyFill="1" applyBorder="1" applyAlignment="1" applyProtection="1">
      <alignment horizontal="center" vertical="center" wrapText="1"/>
      <protection locked="0"/>
    </xf>
    <xf numFmtId="0" fontId="62" fillId="3" borderId="14" xfId="23" applyFont="1" applyFill="1" applyBorder="1" applyAlignment="1" applyProtection="1">
      <alignment horizontal="center" vertical="center" wrapText="1"/>
      <protection locked="0"/>
    </xf>
    <xf numFmtId="0" fontId="62" fillId="3" borderId="14" xfId="22" applyNumberFormat="1" applyFont="1" applyFill="1" applyBorder="1" applyAlignment="1" applyProtection="1">
      <alignment horizontal="center" vertical="center" wrapText="1"/>
      <protection locked="0"/>
    </xf>
    <xf numFmtId="0" fontId="62" fillId="3" borderId="51" xfId="23" applyFont="1" applyFill="1" applyBorder="1" applyAlignment="1" applyProtection="1">
      <alignment horizontal="center" vertical="center" wrapText="1"/>
      <protection locked="0"/>
    </xf>
    <xf numFmtId="0" fontId="62" fillId="3" borderId="28" xfId="23" applyFont="1" applyFill="1" applyBorder="1" applyAlignment="1" applyProtection="1">
      <alignment horizontal="center" vertical="center" wrapText="1"/>
      <protection locked="0"/>
    </xf>
    <xf numFmtId="9" fontId="43" fillId="7" borderId="1" xfId="0" applyNumberFormat="1" applyFont="1" applyFill="1" applyBorder="1" applyAlignment="1">
      <alignment horizontal="center" vertical="center" wrapText="1"/>
    </xf>
    <xf numFmtId="9" fontId="43" fillId="7" borderId="1" xfId="0" applyNumberFormat="1" applyFont="1" applyFill="1" applyBorder="1" applyAlignment="1" applyProtection="1">
      <alignment horizontal="center" vertical="center" wrapText="1"/>
      <protection locked="0"/>
    </xf>
    <xf numFmtId="0" fontId="41" fillId="15" borderId="116" xfId="28" applyNumberFormat="1" applyFont="1" applyFill="1" applyBorder="1" applyAlignment="1">
      <alignment horizontal="center" vertical="center" wrapText="1"/>
      <protection/>
    </xf>
    <xf numFmtId="1" fontId="42" fillId="3" borderId="8" xfId="0" applyNumberFormat="1" applyFont="1" applyFill="1" applyBorder="1" applyAlignment="1">
      <alignment horizontal="center" vertical="center" wrapText="1"/>
    </xf>
    <xf numFmtId="9" fontId="42" fillId="3" borderId="8" xfId="0" applyNumberFormat="1" applyFont="1" applyFill="1" applyBorder="1" applyAlignment="1">
      <alignment horizontal="center" vertical="center" wrapText="1"/>
    </xf>
    <xf numFmtId="0" fontId="42" fillId="3" borderId="8" xfId="0" applyNumberFormat="1" applyFont="1" applyFill="1" applyBorder="1" applyAlignment="1">
      <alignment horizontal="center" vertical="center" wrapText="1"/>
    </xf>
    <xf numFmtId="0" fontId="41" fillId="15" borderId="81" xfId="28" applyNumberFormat="1" applyFont="1" applyFill="1" applyBorder="1" applyAlignment="1">
      <alignment horizontal="center" vertical="center" wrapText="1"/>
      <protection/>
    </xf>
    <xf numFmtId="9" fontId="42" fillId="15" borderId="81" xfId="22" applyFont="1" applyFill="1" applyBorder="1" applyAlignment="1" applyProtection="1">
      <alignment horizontal="center" vertical="center" wrapText="1"/>
      <protection/>
    </xf>
    <xf numFmtId="9" fontId="41" fillId="15" borderId="81" xfId="22" applyFont="1" applyFill="1" applyBorder="1" applyAlignment="1" applyProtection="1">
      <alignment horizontal="center" vertical="center" wrapText="1"/>
      <protection/>
    </xf>
    <xf numFmtId="2" fontId="42" fillId="15" borderId="81" xfId="22" applyNumberFormat="1" applyFont="1" applyFill="1" applyBorder="1" applyAlignment="1" applyProtection="1">
      <alignment horizontal="center" vertical="center" wrapText="1"/>
      <protection/>
    </xf>
    <xf numFmtId="9" fontId="41" fillId="15" borderId="116" xfId="28" applyNumberFormat="1" applyFont="1" applyFill="1" applyBorder="1" applyAlignment="1">
      <alignment horizontal="center" vertical="center" wrapText="1"/>
      <protection/>
    </xf>
    <xf numFmtId="10" fontId="43" fillId="7" borderId="1" xfId="22" applyNumberFormat="1" applyFont="1" applyFill="1" applyBorder="1" applyAlignment="1">
      <alignment horizontal="center" vertical="center" wrapText="1"/>
    </xf>
    <xf numFmtId="0" fontId="41" fillId="15" borderId="81" xfId="28" applyNumberFormat="1" applyFont="1" applyFill="1" applyBorder="1" applyAlignment="1" applyProtection="1">
      <alignment horizontal="center" vertical="center" wrapText="1"/>
      <protection/>
    </xf>
    <xf numFmtId="9" fontId="41" fillId="15" borderId="81" xfId="28" applyNumberFormat="1" applyFont="1" applyFill="1" applyBorder="1" applyAlignment="1" applyProtection="1">
      <alignment horizontal="center" vertical="center" wrapText="1"/>
      <protection/>
    </xf>
    <xf numFmtId="175" fontId="43" fillId="7" borderId="1" xfId="0" applyNumberFormat="1" applyFont="1" applyFill="1" applyBorder="1" applyAlignment="1">
      <alignment horizontal="center" vertical="center" wrapText="1"/>
    </xf>
    <xf numFmtId="9" fontId="19" fillId="5" borderId="39" xfId="0" applyNumberFormat="1" applyFont="1" applyFill="1" applyBorder="1" applyAlignment="1">
      <alignment vertical="center" wrapText="1"/>
    </xf>
    <xf numFmtId="10" fontId="39" fillId="2" borderId="1" xfId="0" applyNumberFormat="1" applyFont="1" applyFill="1" applyBorder="1" applyAlignment="1">
      <alignment horizontal="center" vertical="center" wrapText="1"/>
    </xf>
    <xf numFmtId="175" fontId="39" fillId="2" borderId="1" xfId="0" applyNumberFormat="1" applyFont="1" applyFill="1" applyBorder="1" applyAlignment="1">
      <alignment horizontal="center" vertical="center" wrapText="1"/>
    </xf>
    <xf numFmtId="9" fontId="39" fillId="2" borderId="1" xfId="0" applyNumberFormat="1" applyFont="1" applyFill="1" applyBorder="1" applyAlignment="1">
      <alignment horizontal="center" vertical="center" wrapText="1"/>
    </xf>
    <xf numFmtId="175" fontId="45" fillId="10" borderId="1" xfId="23" applyNumberFormat="1" applyFont="1" applyFill="1" applyBorder="1" applyAlignment="1" applyProtection="1">
      <alignment horizontal="center" vertical="center" wrapText="1"/>
      <protection hidden="1"/>
    </xf>
    <xf numFmtId="9" fontId="45" fillId="10" borderId="1" xfId="23" applyNumberFormat="1" applyFont="1" applyFill="1" applyBorder="1" applyAlignment="1" applyProtection="1">
      <alignment horizontal="center" vertical="center" wrapText="1"/>
      <protection hidden="1"/>
    </xf>
    <xf numFmtId="1" fontId="46" fillId="20" borderId="66" xfId="28" applyNumberFormat="1" applyFont="1" applyFill="1" applyBorder="1" applyAlignment="1">
      <alignment horizontal="center" vertical="center" wrapText="1"/>
      <protection/>
    </xf>
    <xf numFmtId="1" fontId="57" fillId="0" borderId="0" xfId="28" applyNumberFormat="1" applyFont="1">
      <alignment/>
      <protection/>
    </xf>
    <xf numFmtId="1" fontId="56" fillId="0" borderId="0" xfId="28" applyNumberFormat="1" applyFont="1" applyBorder="1" applyAlignment="1">
      <alignment horizontal="center" vertical="center" wrapText="1"/>
      <protection/>
    </xf>
    <xf numFmtId="1" fontId="36" fillId="0" borderId="0" xfId="28" applyNumberFormat="1" applyFont="1" applyFill="1" applyBorder="1" applyAlignment="1">
      <alignment horizontal="center" vertical="center" wrapText="1"/>
      <protection/>
    </xf>
    <xf numFmtId="1" fontId="52" fillId="20" borderId="66" xfId="29" applyNumberFormat="1" applyFont="1" applyFill="1" applyBorder="1" applyAlignment="1" applyProtection="1">
      <alignment horizontal="center" vertical="center" wrapText="1"/>
      <protection hidden="1"/>
    </xf>
    <xf numFmtId="1" fontId="46" fillId="0" borderId="0" xfId="28" applyNumberFormat="1" applyFont="1" applyBorder="1" applyAlignment="1">
      <alignment horizontal="center" vertical="center" wrapText="1"/>
      <protection/>
    </xf>
    <xf numFmtId="1" fontId="40" fillId="0" borderId="0" xfId="28" applyNumberFormat="1" applyAlignment="1">
      <alignment horizontal="center" vertical="center"/>
      <protection/>
    </xf>
    <xf numFmtId="0" fontId="23"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3" fillId="9" borderId="1" xfId="0" applyFont="1" applyFill="1" applyBorder="1" applyAlignment="1">
      <alignment horizontal="center" vertical="center" wrapText="1"/>
    </xf>
    <xf numFmtId="1" fontId="23" fillId="3" borderId="1" xfId="0" applyNumberFormat="1" applyFont="1" applyFill="1" applyBorder="1" applyAlignment="1">
      <alignment horizontal="center" vertical="center" wrapText="1"/>
    </xf>
    <xf numFmtId="1" fontId="27" fillId="0" borderId="0" xfId="0" applyNumberFormat="1" applyFont="1"/>
    <xf numFmtId="1" fontId="28" fillId="0" borderId="0" xfId="0" applyNumberFormat="1" applyFont="1" applyBorder="1" applyAlignment="1">
      <alignment horizontal="center" vertical="center" wrapText="1"/>
    </xf>
    <xf numFmtId="1" fontId="7" fillId="0" borderId="0" xfId="0" applyNumberFormat="1" applyFont="1" applyFill="1" applyBorder="1" applyAlignment="1">
      <alignment horizontal="center" vertical="center" wrapText="1"/>
    </xf>
    <xf numFmtId="1" fontId="14" fillId="3" borderId="1" xfId="23" applyNumberFormat="1" applyFont="1" applyFill="1" applyBorder="1" applyAlignment="1" applyProtection="1">
      <alignment horizontal="center" vertical="center" wrapText="1"/>
      <protection hidden="1"/>
    </xf>
    <xf numFmtId="1" fontId="23" fillId="0" borderId="0" xfId="0" applyNumberFormat="1" applyFont="1" applyBorder="1" applyAlignment="1">
      <alignment horizontal="center" vertical="center" wrapText="1"/>
    </xf>
    <xf numFmtId="1" fontId="14" fillId="7" borderId="19" xfId="0" applyNumberFormat="1"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9" fontId="1" fillId="6" borderId="4" xfId="22" applyFont="1" applyFill="1" applyBorder="1" applyAlignment="1" applyProtection="1">
      <alignment horizontal="center" vertical="center" wrapText="1"/>
      <protection hidden="1"/>
    </xf>
    <xf numFmtId="9" fontId="57" fillId="0" borderId="0" xfId="28" applyNumberFormat="1" applyFont="1">
      <alignment/>
      <protection/>
    </xf>
    <xf numFmtId="9" fontId="56" fillId="0" borderId="0" xfId="28" applyNumberFormat="1" applyFont="1" applyBorder="1" applyAlignment="1">
      <alignment horizontal="center" vertical="center" wrapText="1"/>
      <protection/>
    </xf>
    <xf numFmtId="9" fontId="46" fillId="0" borderId="0" xfId="28" applyNumberFormat="1" applyFont="1" applyBorder="1" applyAlignment="1">
      <alignment horizontal="center" vertical="center" wrapText="1"/>
      <protection/>
    </xf>
    <xf numFmtId="9" fontId="36" fillId="0" borderId="0" xfId="28" applyNumberFormat="1" applyFont="1" applyFill="1" applyBorder="1" applyAlignment="1">
      <alignment horizontal="center" vertical="center" wrapText="1"/>
      <protection/>
    </xf>
    <xf numFmtId="9" fontId="40" fillId="0" borderId="0" xfId="28" applyNumberFormat="1" applyAlignment="1">
      <alignment horizontal="center" vertical="center"/>
      <protection/>
    </xf>
    <xf numFmtId="9" fontId="27" fillId="0" borderId="0" xfId="22" applyFont="1"/>
    <xf numFmtId="9" fontId="28" fillId="0" borderId="0" xfId="22" applyFont="1" applyBorder="1" applyAlignment="1">
      <alignment horizontal="center" vertical="center" wrapText="1"/>
    </xf>
    <xf numFmtId="9" fontId="14" fillId="7" borderId="1" xfId="22" applyFont="1" applyFill="1" applyBorder="1" applyAlignment="1">
      <alignment horizontal="center" vertical="center" wrapText="1"/>
    </xf>
    <xf numFmtId="9" fontId="14" fillId="2" borderId="1" xfId="22" applyFont="1" applyFill="1" applyBorder="1" applyAlignment="1">
      <alignment horizontal="center" vertical="center" wrapText="1"/>
    </xf>
    <xf numFmtId="9" fontId="23" fillId="0" borderId="0" xfId="22" applyFont="1" applyBorder="1" applyAlignment="1">
      <alignment horizontal="center" vertical="center" wrapText="1"/>
    </xf>
    <xf numFmtId="9" fontId="23" fillId="3" borderId="1" xfId="22" applyFont="1" applyFill="1" applyBorder="1" applyAlignment="1">
      <alignment horizontal="center" vertical="center" wrapText="1"/>
    </xf>
    <xf numFmtId="9" fontId="13" fillId="2" borderId="1" xfId="22" applyFont="1" applyFill="1" applyBorder="1" applyAlignment="1">
      <alignment horizontal="center" vertical="center" wrapText="1"/>
    </xf>
    <xf numFmtId="9" fontId="19" fillId="0" borderId="0" xfId="22" applyFont="1" applyFill="1" applyBorder="1" applyAlignment="1">
      <alignment horizontal="center" vertical="center" wrapText="1"/>
    </xf>
    <xf numFmtId="9" fontId="7" fillId="0" borderId="0" xfId="22" applyFont="1" applyFill="1" applyBorder="1" applyAlignment="1">
      <alignment horizontal="center" vertical="center" wrapText="1"/>
    </xf>
    <xf numFmtId="9" fontId="19" fillId="0" borderId="0" xfId="22" applyFont="1" applyFill="1" applyAlignment="1">
      <alignment horizontal="center" vertical="center" wrapText="1"/>
    </xf>
    <xf numFmtId="9" fontId="17" fillId="0" borderId="0" xfId="22" applyFont="1" applyFill="1" applyAlignment="1">
      <alignment horizontal="center" vertical="center" wrapText="1"/>
    </xf>
    <xf numFmtId="9" fontId="20" fillId="9" borderId="1" xfId="22" applyFont="1" applyFill="1" applyBorder="1" applyAlignment="1">
      <alignment horizontal="center" vertical="center" wrapText="1"/>
    </xf>
    <xf numFmtId="0" fontId="18" fillId="9" borderId="55" xfId="0" applyFont="1" applyFill="1" applyBorder="1" applyAlignment="1">
      <alignment horizontal="center" vertical="center" wrapText="1"/>
    </xf>
    <xf numFmtId="9" fontId="18" fillId="9" borderId="5" xfId="22" applyFont="1" applyFill="1" applyBorder="1" applyAlignment="1">
      <alignment horizontal="center" vertical="center" wrapText="1"/>
    </xf>
    <xf numFmtId="9" fontId="17" fillId="7" borderId="19" xfId="0" applyNumberFormat="1" applyFont="1" applyFill="1" applyBorder="1" applyAlignment="1">
      <alignment horizontal="center" vertical="center" wrapText="1"/>
    </xf>
    <xf numFmtId="0" fontId="0" fillId="0" borderId="0" xfId="0" applyAlignment="1">
      <alignment horizontal="center" vertical="center"/>
    </xf>
    <xf numFmtId="0" fontId="14" fillId="3" borderId="1" xfId="23" applyFont="1" applyFill="1" applyBorder="1" applyAlignment="1" applyProtection="1">
      <alignment horizontal="center" vertical="center" wrapText="1"/>
      <protection hidden="1"/>
    </xf>
    <xf numFmtId="0" fontId="17" fillId="7" borderId="1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167" fontId="23" fillId="3"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10" borderId="1" xfId="23" applyFont="1" applyFill="1" applyBorder="1" applyAlignment="1" applyProtection="1">
      <alignment horizontal="center" vertical="center" wrapText="1"/>
      <protection hidden="1"/>
    </xf>
    <xf numFmtId="0" fontId="19" fillId="0" borderId="0" xfId="0" applyFont="1" applyAlignment="1">
      <alignment horizontal="center" vertical="center"/>
    </xf>
    <xf numFmtId="0" fontId="26" fillId="0" borderId="0" xfId="0" applyFont="1"/>
    <xf numFmtId="0" fontId="26" fillId="0" borderId="0" xfId="0" applyFont="1" applyBorder="1" applyAlignment="1">
      <alignment horizontal="center" vertical="center" wrapText="1"/>
    </xf>
    <xf numFmtId="0" fontId="26" fillId="3" borderId="1" xfId="0"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8" fillId="10" borderId="1" xfId="23" applyFont="1" applyFill="1" applyBorder="1" applyAlignment="1" applyProtection="1">
      <alignment horizontal="center" vertical="center" wrapText="1"/>
      <protection hidden="1"/>
    </xf>
    <xf numFmtId="0" fontId="27" fillId="0" borderId="0" xfId="0" applyFont="1"/>
    <xf numFmtId="0" fontId="28" fillId="0" borderId="0" xfId="0" applyFont="1" applyBorder="1" applyAlignment="1">
      <alignment horizontal="center" vertical="center" wrapText="1"/>
    </xf>
    <xf numFmtId="1" fontId="0" fillId="0" borderId="0" xfId="0" applyNumberFormat="1" applyAlignment="1">
      <alignment horizontal="center" vertical="center"/>
    </xf>
    <xf numFmtId="9" fontId="13" fillId="2" borderId="1" xfId="0" applyNumberFormat="1" applyFont="1" applyFill="1" applyBorder="1" applyAlignment="1">
      <alignment horizontal="center" vertical="center" wrapText="1"/>
    </xf>
    <xf numFmtId="9" fontId="0" fillId="0" borderId="0" xfId="22" applyFont="1" applyAlignment="1">
      <alignment horizontal="center" vertical="center"/>
    </xf>
    <xf numFmtId="49" fontId="26" fillId="3" borderId="1" xfId="0" applyNumberFormat="1" applyFont="1" applyFill="1" applyBorder="1" applyAlignment="1">
      <alignment horizontal="center" vertical="center" wrapText="1"/>
    </xf>
    <xf numFmtId="0" fontId="1" fillId="3" borderId="0" xfId="0" applyFont="1" applyFill="1" applyAlignment="1">
      <alignment horizontal="center" vertical="center" wrapText="1"/>
    </xf>
    <xf numFmtId="9" fontId="26" fillId="0" borderId="0" xfId="0" applyNumberFormat="1" applyFont="1"/>
    <xf numFmtId="9" fontId="26" fillId="0" borderId="0" xfId="0" applyNumberFormat="1" applyFont="1" applyBorder="1" applyAlignment="1">
      <alignment horizontal="center" vertical="center" wrapText="1"/>
    </xf>
    <xf numFmtId="9" fontId="19" fillId="0" borderId="0" xfId="0" applyNumberFormat="1" applyFont="1" applyAlignment="1">
      <alignment horizontal="center" vertical="center"/>
    </xf>
    <xf numFmtId="9" fontId="26" fillId="0" borderId="0" xfId="22" applyFont="1"/>
    <xf numFmtId="9" fontId="26" fillId="0" borderId="0" xfId="22" applyFont="1" applyBorder="1" applyAlignment="1">
      <alignment horizontal="center" vertical="center" wrapText="1"/>
    </xf>
    <xf numFmtId="9" fontId="17" fillId="7" borderId="19" xfId="22" applyFont="1" applyFill="1" applyBorder="1" applyAlignment="1">
      <alignment horizontal="center" vertical="center" wrapText="1"/>
    </xf>
    <xf numFmtId="9" fontId="19" fillId="0" borderId="0" xfId="22" applyFont="1" applyAlignment="1">
      <alignment horizontal="center" vertical="center"/>
    </xf>
    <xf numFmtId="9" fontId="57" fillId="0" borderId="0" xfId="22" applyFont="1"/>
    <xf numFmtId="9" fontId="56" fillId="0" borderId="0" xfId="22" applyFont="1" applyBorder="1" applyAlignment="1">
      <alignment horizontal="center" vertical="center" wrapText="1"/>
    </xf>
    <xf numFmtId="9" fontId="36" fillId="0" borderId="0" xfId="22" applyFont="1" applyFill="1" applyBorder="1" applyAlignment="1">
      <alignment horizontal="center" vertical="center" wrapText="1"/>
    </xf>
    <xf numFmtId="9" fontId="53" fillId="28" borderId="96" xfId="22" applyFont="1" applyFill="1" applyBorder="1" applyAlignment="1">
      <alignment horizontal="center" vertical="center" wrapText="1"/>
    </xf>
    <xf numFmtId="9" fontId="53" fillId="28" borderId="107" xfId="22" applyFont="1" applyFill="1" applyBorder="1" applyAlignment="1">
      <alignment horizontal="center" vertical="center" wrapText="1"/>
    </xf>
    <xf numFmtId="9" fontId="46" fillId="0" borderId="0" xfId="22" applyFont="1" applyBorder="1" applyAlignment="1">
      <alignment horizontal="center" vertical="center" wrapText="1"/>
    </xf>
    <xf numFmtId="9" fontId="40" fillId="0" borderId="0" xfId="22" applyFont="1" applyAlignment="1">
      <alignment horizontal="center" vertical="center"/>
    </xf>
    <xf numFmtId="9" fontId="2" fillId="0" borderId="0" xfId="22" applyFont="1"/>
    <xf numFmtId="9" fontId="12" fillId="0" borderId="0" xfId="22" applyFont="1" applyBorder="1" applyAlignment="1">
      <alignment horizontal="center" vertical="center" wrapText="1"/>
    </xf>
    <xf numFmtId="9" fontId="3" fillId="0" borderId="0" xfId="22" applyFont="1" applyAlignment="1">
      <alignment horizontal="center" vertical="center"/>
    </xf>
    <xf numFmtId="0" fontId="23" fillId="3" borderId="1" xfId="0" applyFont="1" applyFill="1" applyBorder="1" applyAlignment="1">
      <alignment horizontal="left" vertical="center" wrapText="1"/>
    </xf>
    <xf numFmtId="0" fontId="23" fillId="3" borderId="6"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19" fillId="0" borderId="17" xfId="0" applyFont="1" applyBorder="1" applyAlignment="1">
      <alignment horizontal="center" vertical="center" wrapText="1"/>
    </xf>
    <xf numFmtId="0" fontId="2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9" fontId="0" fillId="0" borderId="0" xfId="22" applyFont="1" applyAlignment="1">
      <alignment horizontal="center" vertical="center"/>
    </xf>
    <xf numFmtId="0" fontId="23" fillId="3"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8" fillId="17" borderId="68" xfId="29" applyFont="1" applyFill="1" applyBorder="1" applyAlignment="1" applyProtection="1">
      <alignment horizontal="center" vertical="center" wrapText="1"/>
      <protection hidden="1"/>
    </xf>
    <xf numFmtId="0" fontId="1" fillId="17" borderId="66" xfId="29" applyFont="1" applyFill="1" applyBorder="1" applyAlignment="1" applyProtection="1">
      <alignment horizontal="center" vertical="center" wrapText="1"/>
      <protection hidden="1"/>
    </xf>
    <xf numFmtId="0" fontId="18" fillId="18" borderId="68" xfId="29" applyFont="1" applyFill="1" applyBorder="1" applyAlignment="1" applyProtection="1">
      <alignment horizontal="center" vertical="center" wrapText="1"/>
      <protection hidden="1"/>
    </xf>
    <xf numFmtId="14" fontId="1" fillId="0" borderId="92" xfId="32" applyNumberFormat="1" applyFont="1" applyFill="1" applyBorder="1" applyAlignment="1" applyProtection="1">
      <alignment horizontal="center" vertical="center" wrapText="1"/>
      <protection/>
    </xf>
    <xf numFmtId="0" fontId="1" fillId="17" borderId="76" xfId="29" applyFont="1" applyFill="1" applyBorder="1" applyAlignment="1" applyProtection="1">
      <alignment horizontal="center" vertical="center" wrapText="1"/>
      <protection hidden="1"/>
    </xf>
    <xf numFmtId="0" fontId="1" fillId="17" borderId="92" xfId="29" applyFont="1" applyFill="1" applyBorder="1" applyAlignment="1" applyProtection="1">
      <alignment horizontal="center" vertical="center" wrapText="1"/>
      <protection hidden="1"/>
    </xf>
    <xf numFmtId="1" fontId="49" fillId="0" borderId="0" xfId="20" applyNumberFormat="1" applyFont="1" applyFill="1" applyBorder="1" applyAlignment="1" applyProtection="1">
      <alignment horizontal="center" vertical="center" wrapText="1"/>
      <protection/>
    </xf>
    <xf numFmtId="1" fontId="49" fillId="0" borderId="0" xfId="28" applyNumberFormat="1" applyFont="1" applyAlignment="1">
      <alignment horizontal="center" vertical="center" wrapText="1"/>
      <protection/>
    </xf>
    <xf numFmtId="1" fontId="49" fillId="0" borderId="0" xfId="28" applyNumberFormat="1" applyFont="1" applyBorder="1" applyAlignment="1">
      <alignment horizontal="center" vertical="center" wrapText="1"/>
      <protection/>
    </xf>
    <xf numFmtId="0" fontId="53" fillId="23" borderId="66" xfId="29" applyFont="1" applyFill="1" applyBorder="1" applyAlignment="1" applyProtection="1">
      <alignment horizontal="center" vertical="center" wrapText="1"/>
      <protection hidden="1"/>
    </xf>
    <xf numFmtId="0" fontId="53" fillId="23" borderId="90" xfId="29" applyFont="1" applyFill="1" applyBorder="1" applyAlignment="1" applyProtection="1">
      <alignment horizontal="center" vertical="center" wrapText="1"/>
      <protection hidden="1"/>
    </xf>
    <xf numFmtId="0" fontId="53" fillId="23" borderId="68" xfId="29" applyFont="1" applyFill="1" applyBorder="1" applyAlignment="1" applyProtection="1">
      <alignment horizontal="center" vertical="center" wrapText="1"/>
      <protection hidden="1"/>
    </xf>
    <xf numFmtId="0" fontId="53" fillId="23" borderId="79" xfId="29" applyFont="1" applyFill="1" applyBorder="1" applyAlignment="1" applyProtection="1">
      <alignment horizontal="center" vertical="center" wrapText="1"/>
      <protection hidden="1"/>
    </xf>
    <xf numFmtId="1" fontId="53" fillId="23" borderId="76" xfId="20" applyNumberFormat="1" applyFont="1" applyFill="1" applyBorder="1" applyAlignment="1" applyProtection="1">
      <alignment horizontal="center" vertical="center" wrapText="1"/>
      <protection hidden="1"/>
    </xf>
    <xf numFmtId="0" fontId="53" fillId="23" borderId="76" xfId="29" applyFont="1" applyFill="1" applyBorder="1" applyAlignment="1" applyProtection="1">
      <alignment horizontal="center" vertical="center" wrapText="1"/>
      <protection hidden="1"/>
    </xf>
    <xf numFmtId="9" fontId="53" fillId="23" borderId="76" xfId="29" applyNumberFormat="1" applyFont="1" applyFill="1" applyBorder="1" applyAlignment="1" applyProtection="1">
      <alignment horizontal="center" vertical="center" wrapText="1"/>
      <protection hidden="1"/>
    </xf>
    <xf numFmtId="0" fontId="53" fillId="23" borderId="76" xfId="29" applyFont="1" applyFill="1" applyBorder="1" applyAlignment="1" applyProtection="1">
      <alignment horizontal="center" vertical="center" textRotation="90" wrapText="1"/>
      <protection hidden="1"/>
    </xf>
    <xf numFmtId="1" fontId="53" fillId="23" borderId="76" xfId="29" applyNumberFormat="1" applyFont="1" applyFill="1" applyBorder="1" applyAlignment="1" applyProtection="1">
      <alignment horizontal="center" vertical="center" wrapText="1"/>
      <protection hidden="1"/>
    </xf>
    <xf numFmtId="0" fontId="53" fillId="23" borderId="117" xfId="29" applyFont="1" applyFill="1" applyBorder="1" applyAlignment="1" applyProtection="1">
      <alignment horizontal="center" vertical="center" wrapText="1"/>
      <protection hidden="1"/>
    </xf>
    <xf numFmtId="167" fontId="1" fillId="17" borderId="71" xfId="22" applyNumberFormat="1" applyFont="1" applyFill="1" applyBorder="1" applyAlignment="1" applyProtection="1">
      <alignment horizontal="center" vertical="center" wrapText="1"/>
      <protection hidden="1"/>
    </xf>
    <xf numFmtId="0" fontId="1" fillId="18" borderId="71" xfId="28" applyNumberFormat="1" applyFont="1" applyFill="1" applyBorder="1" applyAlignment="1">
      <alignment horizontal="center" vertical="center" wrapText="1"/>
      <protection/>
    </xf>
    <xf numFmtId="1" fontId="1" fillId="18" borderId="71" xfId="22" applyNumberFormat="1" applyFont="1" applyFill="1" applyBorder="1" applyAlignment="1" applyProtection="1">
      <alignment horizontal="center" vertical="center" wrapText="1"/>
      <protection/>
    </xf>
    <xf numFmtId="1" fontId="1" fillId="0" borderId="71" xfId="20" applyNumberFormat="1" applyFont="1" applyFill="1" applyBorder="1" applyAlignment="1" applyProtection="1">
      <alignment horizontal="center" vertical="center" wrapText="1"/>
      <protection/>
    </xf>
    <xf numFmtId="0" fontId="21" fillId="20" borderId="66" xfId="28" applyFont="1" applyFill="1" applyBorder="1" applyAlignment="1">
      <alignment horizontal="center" vertical="center" wrapText="1"/>
      <protection/>
    </xf>
    <xf numFmtId="9" fontId="21" fillId="20" borderId="66" xfId="28" applyNumberFormat="1" applyFont="1" applyFill="1" applyBorder="1" applyAlignment="1">
      <alignment horizontal="center" vertical="center" wrapText="1"/>
      <protection/>
    </xf>
    <xf numFmtId="0" fontId="1" fillId="18" borderId="92" xfId="28" applyNumberFormat="1" applyFont="1" applyFill="1" applyBorder="1" applyAlignment="1">
      <alignment horizontal="center" vertical="center" wrapText="1"/>
      <protection/>
    </xf>
    <xf numFmtId="1" fontId="1" fillId="18" borderId="92" xfId="22" applyNumberFormat="1" applyFont="1" applyFill="1" applyBorder="1" applyAlignment="1" applyProtection="1">
      <alignment horizontal="center" vertical="center" wrapText="1"/>
      <protection/>
    </xf>
    <xf numFmtId="0" fontId="1" fillId="18" borderId="71" xfId="28" applyFont="1" applyFill="1" applyBorder="1" applyAlignment="1">
      <alignment horizontal="center" vertical="center" wrapText="1"/>
      <protection/>
    </xf>
    <xf numFmtId="0" fontId="1" fillId="18" borderId="95" xfId="28" applyFont="1" applyFill="1" applyBorder="1" applyAlignment="1">
      <alignment horizontal="center" vertical="center" wrapText="1"/>
      <protection/>
    </xf>
    <xf numFmtId="1" fontId="1" fillId="18" borderId="105" xfId="22" applyNumberFormat="1" applyFont="1" applyFill="1" applyBorder="1" applyAlignment="1" applyProtection="1">
      <alignment horizontal="center" vertical="center" wrapText="1"/>
      <protection/>
    </xf>
    <xf numFmtId="0" fontId="18" fillId="24" borderId="85" xfId="28" applyFont="1" applyFill="1" applyBorder="1" applyAlignment="1">
      <alignment horizontal="center" vertical="center" wrapText="1"/>
      <protection/>
    </xf>
    <xf numFmtId="9" fontId="18" fillId="24" borderId="85" xfId="22" applyFont="1" applyFill="1" applyBorder="1" applyAlignment="1" applyProtection="1">
      <alignment horizontal="center" vertical="center" wrapText="1"/>
      <protection/>
    </xf>
    <xf numFmtId="1" fontId="18" fillId="24" borderId="85" xfId="28" applyNumberFormat="1" applyFont="1" applyFill="1" applyBorder="1" applyAlignment="1">
      <alignment horizontal="center" vertical="center" wrapText="1"/>
      <protection/>
    </xf>
    <xf numFmtId="169" fontId="18" fillId="24" borderId="85" xfId="28" applyNumberFormat="1" applyFont="1" applyFill="1" applyBorder="1" applyAlignment="1">
      <alignment horizontal="center" vertical="center" wrapText="1"/>
      <protection/>
    </xf>
    <xf numFmtId="0" fontId="18" fillId="24" borderId="81" xfId="28" applyFont="1" applyFill="1" applyBorder="1" applyAlignment="1">
      <alignment horizontal="center" vertical="center" wrapText="1"/>
      <protection/>
    </xf>
    <xf numFmtId="0" fontId="20" fillId="27" borderId="66" xfId="28" applyFont="1" applyFill="1" applyBorder="1" applyAlignment="1">
      <alignment horizontal="center" vertical="center" wrapText="1"/>
      <protection/>
    </xf>
    <xf numFmtId="0" fontId="20" fillId="0" borderId="0" xfId="28" applyFont="1" applyAlignment="1">
      <alignment horizontal="center" vertical="center" wrapText="1"/>
      <protection/>
    </xf>
    <xf numFmtId="9" fontId="1" fillId="17" borderId="71" xfId="22" applyFont="1" applyFill="1" applyBorder="1" applyAlignment="1" applyProtection="1">
      <alignment horizontal="center" vertical="center" wrapText="1"/>
      <protection hidden="1"/>
    </xf>
    <xf numFmtId="14" fontId="1" fillId="17" borderId="71" xfId="29" applyNumberFormat="1" applyFont="1" applyFill="1" applyBorder="1" applyAlignment="1" applyProtection="1">
      <alignment horizontal="center" vertical="center" wrapText="1"/>
      <protection hidden="1"/>
    </xf>
    <xf numFmtId="167" fontId="21" fillId="20" borderId="66" xfId="28" applyNumberFormat="1" applyFont="1" applyFill="1" applyBorder="1" applyAlignment="1">
      <alignment horizontal="center" vertical="center" wrapText="1"/>
      <protection/>
    </xf>
    <xf numFmtId="0" fontId="20" fillId="24" borderId="66" xfId="28" applyFont="1" applyFill="1" applyBorder="1" applyAlignment="1">
      <alignment horizontal="center" vertical="center" wrapText="1"/>
      <protection/>
    </xf>
    <xf numFmtId="1" fontId="1" fillId="17" borderId="77" xfId="20" applyNumberFormat="1" applyFont="1" applyFill="1" applyBorder="1" applyAlignment="1" applyProtection="1">
      <alignment horizontal="center" vertical="center" wrapText="1"/>
      <protection hidden="1"/>
    </xf>
    <xf numFmtId="171" fontId="1" fillId="17" borderId="71" xfId="29" applyNumberFormat="1" applyFont="1" applyFill="1" applyBorder="1" applyAlignment="1" applyProtection="1">
      <alignment horizontal="center" vertical="center" wrapText="1"/>
      <protection hidden="1"/>
    </xf>
    <xf numFmtId="14" fontId="1" fillId="17" borderId="70" xfId="32" applyNumberFormat="1" applyFont="1" applyFill="1" applyBorder="1" applyAlignment="1" applyProtection="1">
      <alignment horizontal="center" vertical="center" wrapText="1"/>
      <protection/>
    </xf>
    <xf numFmtId="14" fontId="1" fillId="17" borderId="77" xfId="32" applyNumberFormat="1" applyFont="1" applyFill="1" applyBorder="1" applyAlignment="1" applyProtection="1">
      <alignment horizontal="center" vertical="center" wrapText="1"/>
      <protection/>
    </xf>
    <xf numFmtId="0" fontId="1" fillId="18" borderId="70" xfId="29" applyFont="1" applyFill="1" applyBorder="1" applyAlignment="1" applyProtection="1">
      <alignment horizontal="center" vertical="center" wrapText="1"/>
      <protection hidden="1"/>
    </xf>
    <xf numFmtId="0" fontId="1" fillId="17" borderId="79" xfId="29" applyFont="1" applyFill="1" applyBorder="1" applyAlignment="1" applyProtection="1">
      <alignment horizontal="center" vertical="center" wrapText="1"/>
      <protection hidden="1"/>
    </xf>
    <xf numFmtId="1" fontId="1" fillId="17" borderId="80" xfId="20" applyNumberFormat="1" applyFont="1" applyFill="1" applyBorder="1" applyAlignment="1" applyProtection="1">
      <alignment horizontal="center" vertical="center" wrapText="1"/>
      <protection hidden="1"/>
    </xf>
    <xf numFmtId="0" fontId="1" fillId="17" borderId="93" xfId="29" applyFont="1" applyFill="1" applyBorder="1" applyAlignment="1" applyProtection="1">
      <alignment horizontal="center" vertical="center" wrapText="1"/>
      <protection hidden="1"/>
    </xf>
    <xf numFmtId="0" fontId="1" fillId="17" borderId="106" xfId="29" applyFont="1" applyFill="1" applyBorder="1" applyAlignment="1" applyProtection="1">
      <alignment horizontal="center" vertical="center" wrapText="1"/>
      <protection hidden="1"/>
    </xf>
    <xf numFmtId="1" fontId="1" fillId="17" borderId="92" xfId="29" applyNumberFormat="1" applyFont="1" applyFill="1" applyBorder="1" applyAlignment="1" applyProtection="1">
      <alignment horizontal="center" vertical="center" wrapText="1"/>
      <protection hidden="1"/>
    </xf>
    <xf numFmtId="9" fontId="33" fillId="24" borderId="85" xfId="22" applyFont="1" applyFill="1" applyBorder="1" applyAlignment="1" applyProtection="1">
      <alignment horizontal="center" vertical="center" wrapText="1"/>
      <protection/>
    </xf>
    <xf numFmtId="0" fontId="53" fillId="23" borderId="85" xfId="28" applyFont="1" applyFill="1" applyBorder="1" applyAlignment="1">
      <alignment vertical="center" wrapText="1"/>
      <protection/>
    </xf>
    <xf numFmtId="0" fontId="53" fillId="23" borderId="83" xfId="28" applyFont="1" applyFill="1" applyBorder="1" applyAlignment="1">
      <alignment horizontal="center" vertical="center" wrapText="1"/>
      <protection/>
    </xf>
    <xf numFmtId="9" fontId="53" fillId="23" borderId="83" xfId="22" applyFont="1" applyFill="1" applyBorder="1" applyAlignment="1" applyProtection="1">
      <alignment horizontal="center" vertical="center" wrapText="1"/>
      <protection/>
    </xf>
    <xf numFmtId="1" fontId="53" fillId="23" borderId="83" xfId="28" applyNumberFormat="1" applyFont="1" applyFill="1" applyBorder="1" applyAlignment="1">
      <alignment horizontal="center" vertical="center" wrapText="1"/>
      <protection/>
    </xf>
    <xf numFmtId="169" fontId="53" fillId="23" borderId="83" xfId="28" applyNumberFormat="1" applyFont="1" applyFill="1" applyBorder="1" applyAlignment="1">
      <alignment horizontal="center" vertical="center" wrapText="1"/>
      <protection/>
    </xf>
    <xf numFmtId="0" fontId="53" fillId="23" borderId="107" xfId="28" applyFont="1" applyFill="1" applyBorder="1" applyAlignment="1">
      <alignment horizontal="center" vertical="center" wrapText="1"/>
      <protection/>
    </xf>
    <xf numFmtId="1" fontId="49" fillId="22" borderId="83" xfId="20" applyNumberFormat="1" applyFont="1" applyFill="1" applyBorder="1" applyAlignment="1" applyProtection="1">
      <alignment horizontal="center" vertical="center" wrapText="1"/>
      <protection/>
    </xf>
    <xf numFmtId="1" fontId="49" fillId="22" borderId="83" xfId="28" applyNumberFormat="1" applyFont="1" applyFill="1" applyBorder="1" applyAlignment="1">
      <alignment horizontal="center" vertical="center" wrapText="1"/>
      <protection/>
    </xf>
    <xf numFmtId="174" fontId="49" fillId="22" borderId="83" xfId="28" applyNumberFormat="1" applyFont="1" applyFill="1" applyBorder="1" applyAlignment="1">
      <alignment horizontal="center" vertical="center" wrapText="1"/>
      <protection/>
    </xf>
    <xf numFmtId="0" fontId="23" fillId="20" borderId="66" xfId="28" applyFont="1" applyFill="1" applyBorder="1" applyAlignment="1">
      <alignment horizontal="center" vertical="center" wrapText="1"/>
      <protection/>
    </xf>
    <xf numFmtId="0" fontId="52" fillId="33" borderId="66" xfId="28" applyFont="1" applyFill="1" applyBorder="1" applyAlignment="1">
      <alignment horizontal="center" vertical="center" wrapText="1"/>
      <protection/>
    </xf>
    <xf numFmtId="176" fontId="56" fillId="0" borderId="0" xfId="20" applyNumberFormat="1" applyFont="1" applyBorder="1" applyAlignment="1">
      <alignment horizontal="center" vertical="center" wrapText="1"/>
    </xf>
    <xf numFmtId="176" fontId="36" fillId="0" borderId="0" xfId="20" applyNumberFormat="1" applyFont="1" applyFill="1" applyBorder="1" applyAlignment="1">
      <alignment horizontal="center" vertical="center" wrapText="1"/>
    </xf>
    <xf numFmtId="176" fontId="46" fillId="20" borderId="66" xfId="20" applyNumberFormat="1" applyFont="1" applyFill="1" applyBorder="1" applyAlignment="1">
      <alignment horizontal="center" vertical="center" wrapText="1"/>
    </xf>
    <xf numFmtId="176" fontId="53" fillId="28" borderId="96" xfId="20" applyNumberFormat="1" applyFont="1" applyFill="1" applyBorder="1" applyAlignment="1">
      <alignment horizontal="center" vertical="center" wrapText="1"/>
    </xf>
    <xf numFmtId="176" fontId="52" fillId="20" borderId="66" xfId="20" applyNumberFormat="1" applyFont="1" applyFill="1" applyBorder="1" applyAlignment="1" applyProtection="1">
      <alignment horizontal="center" vertical="center" wrapText="1"/>
      <protection hidden="1"/>
    </xf>
    <xf numFmtId="176" fontId="53" fillId="28" borderId="107" xfId="20" applyNumberFormat="1" applyFont="1" applyFill="1" applyBorder="1" applyAlignment="1">
      <alignment horizontal="center" vertical="center" wrapText="1"/>
    </xf>
    <xf numFmtId="176" fontId="46" fillId="0" borderId="0" xfId="20" applyNumberFormat="1" applyFont="1" applyBorder="1" applyAlignment="1">
      <alignment horizontal="center" vertical="center" wrapText="1"/>
    </xf>
    <xf numFmtId="176" fontId="40" fillId="0" borderId="0" xfId="20" applyNumberFormat="1" applyFont="1" applyAlignment="1">
      <alignment horizontal="center" vertical="center"/>
    </xf>
    <xf numFmtId="176" fontId="57" fillId="0" borderId="0" xfId="20" applyNumberFormat="1" applyFont="1" applyAlignment="1">
      <alignment horizontal="center" vertical="center"/>
    </xf>
    <xf numFmtId="0" fontId="23" fillId="20" borderId="66" xfId="28" applyFont="1" applyFill="1" applyBorder="1" applyAlignment="1">
      <alignment horizontal="center" vertical="center" wrapText="1"/>
      <protection/>
    </xf>
    <xf numFmtId="0" fontId="65" fillId="0" borderId="0" xfId="28" applyFont="1">
      <alignment/>
      <protection/>
    </xf>
    <xf numFmtId="0" fontId="28" fillId="0" borderId="0" xfId="28" applyFont="1" applyBorder="1" applyAlignment="1">
      <alignment horizontal="center" vertical="center" wrapText="1"/>
      <protection/>
    </xf>
    <xf numFmtId="0" fontId="14" fillId="20" borderId="66" xfId="29" applyFont="1" applyFill="1" applyBorder="1" applyAlignment="1" applyProtection="1">
      <alignment horizontal="center" vertical="center" wrapText="1"/>
      <protection hidden="1"/>
    </xf>
    <xf numFmtId="0" fontId="14" fillId="27" borderId="66" xfId="28" applyFont="1" applyFill="1" applyBorder="1" applyAlignment="1">
      <alignment horizontal="center" vertical="center" wrapText="1"/>
      <protection/>
    </xf>
    <xf numFmtId="0" fontId="14" fillId="24" borderId="66" xfId="28" applyFont="1" applyFill="1" applyBorder="1" applyAlignment="1">
      <alignment horizontal="center" vertical="center" wrapText="1"/>
      <protection/>
    </xf>
    <xf numFmtId="0" fontId="14" fillId="33" borderId="66" xfId="28" applyFont="1" applyFill="1" applyBorder="1" applyAlignment="1">
      <alignment horizontal="center" vertical="center" wrapText="1"/>
      <protection/>
    </xf>
    <xf numFmtId="0" fontId="14" fillId="23" borderId="66" xfId="28" applyFont="1" applyFill="1" applyBorder="1" applyAlignment="1">
      <alignment horizontal="center" vertical="center" wrapText="1"/>
      <protection/>
    </xf>
    <xf numFmtId="0" fontId="14" fillId="22" borderId="66" xfId="29" applyFont="1" applyFill="1" applyBorder="1" applyAlignment="1" applyProtection="1">
      <alignment horizontal="center" vertical="center" wrapText="1"/>
      <protection hidden="1"/>
    </xf>
    <xf numFmtId="0" fontId="65" fillId="0" borderId="0" xfId="28" applyFont="1" applyAlignment="1">
      <alignment horizontal="center" vertical="center"/>
      <protection/>
    </xf>
    <xf numFmtId="1" fontId="66" fillId="22" borderId="66" xfId="29" applyNumberFormat="1" applyFont="1" applyFill="1" applyBorder="1" applyAlignment="1" applyProtection="1">
      <alignment horizontal="center" vertical="center" wrapText="1"/>
      <protection hidden="1"/>
    </xf>
    <xf numFmtId="0" fontId="66" fillId="22" borderId="66" xfId="29" applyFont="1" applyFill="1" applyBorder="1" applyAlignment="1" applyProtection="1">
      <alignment horizontal="center" vertical="center" wrapText="1"/>
      <protection hidden="1"/>
    </xf>
    <xf numFmtId="1" fontId="60" fillId="34" borderId="66" xfId="28" applyNumberFormat="1" applyFont="1" applyFill="1" applyBorder="1" applyAlignment="1">
      <alignment horizontal="center" vertical="center" wrapText="1"/>
      <protection/>
    </xf>
    <xf numFmtId="9" fontId="66" fillId="35" borderId="66" xfId="28" applyNumberFormat="1" applyFont="1" applyFill="1" applyBorder="1" applyAlignment="1">
      <alignment horizontal="center" vertical="center" wrapText="1"/>
      <protection/>
    </xf>
    <xf numFmtId="1" fontId="60" fillId="24" borderId="66" xfId="28" applyNumberFormat="1" applyFont="1" applyFill="1" applyBorder="1" applyAlignment="1">
      <alignment horizontal="center" vertical="center" wrapText="1"/>
      <protection/>
    </xf>
    <xf numFmtId="0" fontId="60" fillId="24" borderId="66" xfId="28" applyFont="1" applyFill="1" applyBorder="1" applyAlignment="1">
      <alignment horizontal="center" vertical="center" wrapText="1"/>
      <protection/>
    </xf>
    <xf numFmtId="1" fontId="66" fillId="34" borderId="66" xfId="28" applyNumberFormat="1" applyFont="1" applyFill="1" applyBorder="1" applyAlignment="1">
      <alignment horizontal="center" vertical="center" wrapText="1"/>
      <protection/>
    </xf>
    <xf numFmtId="9" fontId="66" fillId="35" borderId="66" xfId="28" applyNumberFormat="1" applyFont="1" applyFill="1" applyBorder="1" applyAlignment="1">
      <alignment horizontal="center" vertical="center" wrapText="1"/>
      <protection/>
    </xf>
    <xf numFmtId="1" fontId="60" fillId="24" borderId="66" xfId="28" applyNumberFormat="1" applyFont="1" applyFill="1" applyBorder="1" applyAlignment="1">
      <alignment horizontal="center" vertical="center" wrapText="1"/>
      <protection/>
    </xf>
    <xf numFmtId="0" fontId="60" fillId="24" borderId="66" xfId="28" applyFont="1" applyFill="1" applyBorder="1" applyAlignment="1">
      <alignment horizontal="center" vertical="center" wrapText="1"/>
      <protection/>
    </xf>
    <xf numFmtId="9" fontId="66" fillId="34" borderId="66" xfId="28" applyNumberFormat="1" applyFont="1" applyFill="1" applyBorder="1" applyAlignment="1">
      <alignment horizontal="center" vertical="center" wrapText="1"/>
      <protection/>
    </xf>
    <xf numFmtId="1" fontId="67" fillId="28" borderId="66" xfId="28" applyNumberFormat="1" applyFont="1" applyFill="1" applyBorder="1" applyAlignment="1">
      <alignment horizontal="center" vertical="center" wrapText="1"/>
      <protection/>
    </xf>
    <xf numFmtId="9" fontId="67" fillId="28" borderId="66" xfId="28" applyNumberFormat="1" applyFont="1" applyFill="1" applyBorder="1" applyAlignment="1">
      <alignment horizontal="center" vertical="center" wrapText="1"/>
      <protection/>
    </xf>
    <xf numFmtId="9" fontId="68" fillId="28" borderId="66" xfId="28" applyNumberFormat="1" applyFont="1" applyFill="1" applyBorder="1" applyAlignment="1">
      <alignment horizontal="center" vertical="center" wrapText="1"/>
      <protection/>
    </xf>
    <xf numFmtId="1" fontId="67" fillId="23" borderId="66" xfId="28" applyNumberFormat="1" applyFont="1" applyFill="1" applyBorder="1" applyAlignment="1">
      <alignment horizontal="center" vertical="center" wrapText="1"/>
      <protection/>
    </xf>
    <xf numFmtId="0" fontId="67" fillId="23" borderId="66" xfId="28" applyFont="1" applyFill="1" applyBorder="1" applyAlignment="1">
      <alignment horizontal="center" vertical="center" wrapText="1"/>
      <protection/>
    </xf>
    <xf numFmtId="1" fontId="66" fillId="7" borderId="81" xfId="28" applyNumberFormat="1" applyFont="1" applyFill="1" applyBorder="1" applyAlignment="1">
      <alignment horizontal="center" vertical="center" wrapText="1"/>
      <protection/>
    </xf>
    <xf numFmtId="1" fontId="60" fillId="9" borderId="81" xfId="28" applyNumberFormat="1" applyFont="1" applyFill="1" applyBorder="1" applyAlignment="1">
      <alignment horizontal="center" vertical="center" wrapText="1"/>
      <protection/>
    </xf>
    <xf numFmtId="0" fontId="60" fillId="7" borderId="81" xfId="28" applyFont="1" applyFill="1" applyBorder="1" applyAlignment="1">
      <alignment horizontal="center" vertical="center" wrapText="1"/>
      <protection/>
    </xf>
    <xf numFmtId="1" fontId="66" fillId="24" borderId="66" xfId="28" applyNumberFormat="1" applyFont="1" applyFill="1" applyBorder="1" applyAlignment="1">
      <alignment horizontal="center" vertical="center" wrapText="1"/>
      <protection/>
    </xf>
    <xf numFmtId="9" fontId="66" fillId="24" borderId="66" xfId="28" applyNumberFormat="1" applyFont="1" applyFill="1" applyBorder="1" applyAlignment="1">
      <alignment horizontal="center" vertical="center" wrapText="1"/>
      <protection/>
    </xf>
    <xf numFmtId="0" fontId="66" fillId="24" borderId="66" xfId="28" applyFont="1" applyFill="1" applyBorder="1" applyAlignment="1">
      <alignment horizontal="center" vertical="center" wrapText="1"/>
      <protection/>
    </xf>
    <xf numFmtId="1" fontId="67" fillId="24" borderId="66" xfId="28" applyNumberFormat="1" applyFont="1" applyFill="1" applyBorder="1" applyAlignment="1">
      <alignment horizontal="center" vertical="center" wrapText="1"/>
      <protection/>
    </xf>
    <xf numFmtId="0" fontId="67" fillId="24" borderId="66" xfId="28" applyFont="1" applyFill="1" applyBorder="1" applyAlignment="1">
      <alignment horizontal="center" vertical="center" wrapText="1"/>
      <protection/>
    </xf>
    <xf numFmtId="1" fontId="67" fillId="28" borderId="66" xfId="28" applyNumberFormat="1" applyFont="1" applyFill="1" applyBorder="1" applyAlignment="1">
      <alignment horizontal="center" vertical="center" wrapText="1"/>
      <protection/>
    </xf>
    <xf numFmtId="9" fontId="67" fillId="28" borderId="66" xfId="28" applyNumberFormat="1" applyFont="1" applyFill="1" applyBorder="1" applyAlignment="1">
      <alignment horizontal="center" vertical="center" wrapText="1"/>
      <protection/>
    </xf>
    <xf numFmtId="0" fontId="67" fillId="28" borderId="66" xfId="28" applyFont="1" applyFill="1" applyBorder="1" applyAlignment="1">
      <alignment horizontal="center" vertical="center" wrapText="1"/>
      <protection/>
    </xf>
    <xf numFmtId="1" fontId="67" fillId="23" borderId="66" xfId="28" applyNumberFormat="1" applyFont="1" applyFill="1" applyBorder="1" applyAlignment="1">
      <alignment horizontal="center" vertical="center" wrapText="1"/>
      <protection/>
    </xf>
    <xf numFmtId="0" fontId="67" fillId="23" borderId="66" xfId="28" applyFont="1" applyFill="1" applyBorder="1" applyAlignment="1">
      <alignment horizontal="center" vertical="center" wrapText="1"/>
      <protection/>
    </xf>
    <xf numFmtId="1" fontId="66" fillId="22" borderId="66" xfId="29" applyNumberFormat="1" applyFont="1" applyFill="1" applyBorder="1" applyAlignment="1" applyProtection="1">
      <alignment horizontal="center" vertical="center" wrapText="1"/>
      <protection hidden="1"/>
    </xf>
    <xf numFmtId="9" fontId="66" fillId="22" borderId="66" xfId="29" applyNumberFormat="1" applyFont="1" applyFill="1" applyBorder="1" applyAlignment="1" applyProtection="1">
      <alignment horizontal="center" vertical="center" wrapText="1"/>
      <protection hidden="1"/>
    </xf>
    <xf numFmtId="0" fontId="66" fillId="22" borderId="66" xfId="29" applyFont="1" applyFill="1" applyBorder="1" applyAlignment="1" applyProtection="1">
      <alignment horizontal="center" vertical="center" wrapText="1"/>
      <protection hidden="1"/>
    </xf>
    <xf numFmtId="1" fontId="66" fillId="7" borderId="1" xfId="0" applyNumberFormat="1" applyFont="1" applyFill="1" applyBorder="1" applyAlignment="1">
      <alignment horizontal="center" vertical="center" wrapText="1"/>
    </xf>
    <xf numFmtId="9" fontId="66" fillId="7" borderId="1" xfId="22" applyFont="1" applyFill="1" applyBorder="1" applyAlignment="1">
      <alignment horizontal="center" vertical="center" wrapText="1"/>
    </xf>
    <xf numFmtId="0" fontId="66" fillId="7" borderId="1" xfId="0" applyFont="1" applyFill="1" applyBorder="1" applyAlignment="1">
      <alignment horizontal="center" vertical="center" wrapText="1"/>
    </xf>
    <xf numFmtId="9" fontId="66" fillId="7" borderId="1" xfId="0" applyNumberFormat="1" applyFont="1" applyFill="1" applyBorder="1" applyAlignment="1">
      <alignment horizontal="center" vertical="center" wrapText="1"/>
    </xf>
    <xf numFmtId="1" fontId="5" fillId="7" borderId="1" xfId="0" applyNumberFormat="1" applyFont="1" applyFill="1" applyBorder="1" applyAlignment="1">
      <alignment horizontal="center" vertical="center" wrapText="1"/>
    </xf>
    <xf numFmtId="9" fontId="5" fillId="7" borderId="1" xfId="22" applyFont="1" applyFill="1" applyBorder="1" applyAlignment="1">
      <alignment horizontal="center" vertical="center" wrapText="1"/>
    </xf>
    <xf numFmtId="0" fontId="5" fillId="7" borderId="1" xfId="0" applyFont="1" applyFill="1" applyBorder="1" applyAlignment="1">
      <alignment horizontal="center" vertical="center" wrapText="1"/>
    </xf>
    <xf numFmtId="1" fontId="66" fillId="9" borderId="1" xfId="0" applyNumberFormat="1" applyFont="1" applyFill="1" applyBorder="1" applyAlignment="1">
      <alignment horizontal="center" vertical="center" wrapText="1"/>
    </xf>
    <xf numFmtId="9" fontId="66" fillId="9" borderId="1" xfId="22" applyFont="1" applyFill="1" applyBorder="1" applyAlignment="1">
      <alignment horizontal="center" vertical="center" wrapText="1"/>
    </xf>
    <xf numFmtId="0" fontId="66" fillId="9" borderId="1" xfId="0" applyFont="1" applyFill="1" applyBorder="1" applyAlignment="1">
      <alignment horizontal="center" vertical="center" wrapText="1"/>
    </xf>
    <xf numFmtId="1" fontId="66" fillId="7" borderId="19" xfId="0" applyNumberFormat="1" applyFont="1" applyFill="1" applyBorder="1" applyAlignment="1">
      <alignment horizontal="center" vertical="center" wrapText="1"/>
    </xf>
    <xf numFmtId="9" fontId="66" fillId="7" borderId="19" xfId="22" applyFont="1" applyFill="1" applyBorder="1" applyAlignment="1">
      <alignment horizontal="center" vertical="center" wrapText="1"/>
    </xf>
    <xf numFmtId="176" fontId="27" fillId="0" borderId="0" xfId="20" applyNumberFormat="1" applyFont="1"/>
    <xf numFmtId="176" fontId="28" fillId="0" borderId="0" xfId="20" applyNumberFormat="1" applyFont="1" applyBorder="1" applyAlignment="1">
      <alignment horizontal="center" vertical="center" wrapText="1"/>
    </xf>
    <xf numFmtId="176" fontId="7" fillId="0" borderId="0" xfId="20" applyNumberFormat="1" applyFont="1" applyFill="1" applyBorder="1" applyAlignment="1">
      <alignment horizontal="center" vertical="center" wrapText="1"/>
    </xf>
    <xf numFmtId="176" fontId="14" fillId="3" borderId="1" xfId="20" applyNumberFormat="1" applyFont="1" applyFill="1" applyBorder="1" applyAlignment="1" applyProtection="1">
      <alignment horizontal="center" vertical="center" wrapText="1"/>
      <protection hidden="1"/>
    </xf>
    <xf numFmtId="176" fontId="23" fillId="3" borderId="1" xfId="20" applyNumberFormat="1" applyFont="1" applyFill="1" applyBorder="1" applyAlignment="1">
      <alignment horizontal="center" vertical="center" wrapText="1"/>
    </xf>
    <xf numFmtId="176" fontId="14" fillId="3" borderId="1" xfId="20" applyNumberFormat="1" applyFont="1" applyFill="1" applyBorder="1" applyAlignment="1">
      <alignment horizontal="center" vertical="center" wrapText="1"/>
    </xf>
    <xf numFmtId="176" fontId="66" fillId="7" borderId="1" xfId="20" applyNumberFormat="1" applyFont="1" applyFill="1" applyBorder="1" applyAlignment="1">
      <alignment horizontal="center" vertical="center" wrapText="1"/>
    </xf>
    <xf numFmtId="176" fontId="5" fillId="7" borderId="1" xfId="20" applyNumberFormat="1" applyFont="1" applyFill="1" applyBorder="1" applyAlignment="1">
      <alignment horizontal="center" vertical="center" wrapText="1"/>
    </xf>
    <xf numFmtId="176" fontId="13" fillId="2" borderId="1" xfId="20" applyNumberFormat="1" applyFont="1" applyFill="1" applyBorder="1" applyAlignment="1">
      <alignment horizontal="center" vertical="center" wrapText="1"/>
    </xf>
    <xf numFmtId="176" fontId="23" fillId="0" borderId="0" xfId="20" applyNumberFormat="1" applyFont="1" applyBorder="1" applyAlignment="1">
      <alignment horizontal="center" vertical="center" wrapText="1"/>
    </xf>
    <xf numFmtId="176" fontId="66" fillId="9" borderId="1" xfId="20" applyNumberFormat="1" applyFont="1" applyFill="1" applyBorder="1" applyAlignment="1">
      <alignment horizontal="center" vertical="center" wrapText="1"/>
    </xf>
    <xf numFmtId="176" fontId="14" fillId="7" borderId="1" xfId="20" applyNumberFormat="1" applyFont="1" applyFill="1" applyBorder="1" applyAlignment="1">
      <alignment horizontal="center" vertical="center" wrapText="1"/>
    </xf>
    <xf numFmtId="176" fontId="14" fillId="2" borderId="1" xfId="20" applyNumberFormat="1" applyFont="1" applyFill="1" applyBorder="1" applyAlignment="1">
      <alignment horizontal="center" vertical="center" wrapText="1"/>
    </xf>
    <xf numFmtId="176" fontId="19" fillId="0" borderId="0" xfId="20" applyNumberFormat="1" applyFont="1" applyFill="1" applyBorder="1" applyAlignment="1">
      <alignment horizontal="center" vertical="center" wrapText="1"/>
    </xf>
    <xf numFmtId="176" fontId="17" fillId="7" borderId="19" xfId="20" applyNumberFormat="1" applyFont="1" applyFill="1" applyBorder="1" applyAlignment="1">
      <alignment horizontal="center" vertical="center" wrapText="1"/>
    </xf>
    <xf numFmtId="176" fontId="0" fillId="0" borderId="0" xfId="20" applyNumberFormat="1" applyFont="1" applyAlignment="1">
      <alignment horizontal="center" vertical="center"/>
    </xf>
    <xf numFmtId="0" fontId="5" fillId="7" borderId="19" xfId="0" applyFont="1" applyFill="1" applyBorder="1" applyAlignment="1">
      <alignment horizontal="center" vertical="center" wrapText="1"/>
    </xf>
    <xf numFmtId="9" fontId="5" fillId="7" borderId="19" xfId="22" applyFont="1" applyFill="1" applyBorder="1" applyAlignment="1">
      <alignment horizontal="center" vertical="center" wrapText="1"/>
    </xf>
    <xf numFmtId="176" fontId="5" fillId="7" borderId="19" xfId="20" applyNumberFormat="1" applyFont="1" applyFill="1" applyBorder="1" applyAlignment="1">
      <alignment horizontal="center" vertical="center" wrapText="1"/>
    </xf>
    <xf numFmtId="1" fontId="69" fillId="2" borderId="1" xfId="0" applyNumberFormat="1" applyFont="1" applyFill="1" applyBorder="1" applyAlignment="1">
      <alignment horizontal="center" vertical="center" wrapText="1"/>
    </xf>
    <xf numFmtId="9" fontId="69" fillId="2" borderId="1" xfId="22" applyFont="1" applyFill="1" applyBorder="1" applyAlignment="1">
      <alignment horizontal="center" vertical="center" wrapText="1"/>
    </xf>
    <xf numFmtId="176" fontId="69" fillId="2" borderId="1" xfId="20" applyNumberFormat="1" applyFont="1" applyFill="1" applyBorder="1" applyAlignment="1">
      <alignment horizontal="center" vertical="center" wrapText="1"/>
    </xf>
    <xf numFmtId="0" fontId="69" fillId="2" borderId="1" xfId="0" applyFont="1" applyFill="1" applyBorder="1" applyAlignment="1">
      <alignment horizontal="center" vertical="center" wrapText="1"/>
    </xf>
    <xf numFmtId="1" fontId="66" fillId="10" borderId="1" xfId="23" applyNumberFormat="1" applyFont="1" applyFill="1" applyBorder="1" applyAlignment="1" applyProtection="1">
      <alignment horizontal="center" vertical="center" wrapText="1"/>
      <protection hidden="1"/>
    </xf>
    <xf numFmtId="9" fontId="66" fillId="10" borderId="1" xfId="22" applyFont="1" applyFill="1" applyBorder="1" applyAlignment="1" applyProtection="1">
      <alignment horizontal="center" vertical="center" wrapText="1"/>
      <protection hidden="1"/>
    </xf>
    <xf numFmtId="176" fontId="66" fillId="10" borderId="1" xfId="20" applyNumberFormat="1" applyFont="1" applyFill="1" applyBorder="1" applyAlignment="1" applyProtection="1">
      <alignment horizontal="center" vertical="center" wrapText="1"/>
      <protection hidden="1"/>
    </xf>
    <xf numFmtId="1" fontId="66" fillId="24" borderId="66" xfId="28" applyNumberFormat="1" applyFont="1" applyFill="1" applyBorder="1" applyAlignment="1">
      <alignment horizontal="center" vertical="center" wrapText="1"/>
      <protection/>
    </xf>
    <xf numFmtId="9" fontId="66" fillId="24" borderId="66" xfId="22" applyFont="1" applyFill="1" applyBorder="1" applyAlignment="1">
      <alignment horizontal="center" vertical="center" wrapText="1"/>
    </xf>
    <xf numFmtId="176" fontId="66" fillId="24" borderId="66" xfId="20" applyNumberFormat="1" applyFont="1" applyFill="1" applyBorder="1" applyAlignment="1">
      <alignment horizontal="center" vertical="center" wrapText="1"/>
    </xf>
    <xf numFmtId="0" fontId="66" fillId="24" borderId="66" xfId="28" applyFont="1" applyFill="1" applyBorder="1" applyAlignment="1">
      <alignment horizontal="center" vertical="center" wrapText="1"/>
      <protection/>
    </xf>
    <xf numFmtId="0" fontId="66" fillId="24" borderId="81" xfId="28" applyFont="1" applyFill="1" applyBorder="1" applyAlignment="1">
      <alignment horizontal="center" vertical="center" wrapText="1"/>
      <protection/>
    </xf>
    <xf numFmtId="9" fontId="66" fillId="24" borderId="81" xfId="22" applyFont="1" applyFill="1" applyBorder="1" applyAlignment="1">
      <alignment horizontal="center" vertical="center" wrapText="1"/>
    </xf>
    <xf numFmtId="176" fontId="66" fillId="24" borderId="81" xfId="20" applyNumberFormat="1" applyFont="1" applyFill="1" applyBorder="1" applyAlignment="1">
      <alignment horizontal="center" vertical="center" wrapText="1"/>
    </xf>
    <xf numFmtId="1" fontId="66" fillId="27" borderId="66" xfId="28" applyNumberFormat="1" applyFont="1" applyFill="1" applyBorder="1" applyAlignment="1">
      <alignment horizontal="center" vertical="center" wrapText="1"/>
      <protection/>
    </xf>
    <xf numFmtId="9" fontId="66" fillId="27" borderId="66" xfId="22" applyFont="1" applyFill="1" applyBorder="1" applyAlignment="1">
      <alignment horizontal="center" vertical="center" wrapText="1"/>
    </xf>
    <xf numFmtId="176" fontId="66" fillId="27" borderId="66" xfId="20" applyNumberFormat="1" applyFont="1" applyFill="1" applyBorder="1" applyAlignment="1">
      <alignment horizontal="center" vertical="center" wrapText="1"/>
    </xf>
    <xf numFmtId="9" fontId="66" fillId="22" borderId="66" xfId="22" applyFont="1" applyFill="1" applyBorder="1" applyAlignment="1" applyProtection="1">
      <alignment horizontal="center" vertical="center" wrapText="1"/>
      <protection hidden="1"/>
    </xf>
    <xf numFmtId="176" fontId="66" fillId="22" borderId="66" xfId="20" applyNumberFormat="1" applyFont="1" applyFill="1" applyBorder="1" applyAlignment="1" applyProtection="1">
      <alignment horizontal="center" vertical="center" wrapText="1"/>
      <protection hidden="1"/>
    </xf>
    <xf numFmtId="176" fontId="23" fillId="3" borderId="6" xfId="20" applyNumberFormat="1" applyFont="1" applyFill="1" applyBorder="1" applyAlignment="1">
      <alignment horizontal="center" vertical="center" wrapText="1"/>
    </xf>
    <xf numFmtId="176" fontId="23" fillId="3" borderId="12" xfId="20" applyNumberFormat="1" applyFont="1" applyFill="1" applyBorder="1" applyAlignment="1">
      <alignment horizontal="center" vertical="center" wrapText="1"/>
    </xf>
    <xf numFmtId="9" fontId="66" fillId="9" borderId="1" xfId="0" applyNumberFormat="1" applyFont="1" applyFill="1" applyBorder="1" applyAlignment="1">
      <alignment horizontal="center" vertical="center" wrapText="1"/>
    </xf>
    <xf numFmtId="9" fontId="69" fillId="2" borderId="1" xfId="0" applyNumberFormat="1" applyFont="1" applyFill="1" applyBorder="1" applyAlignment="1">
      <alignment horizontal="center" vertical="center" wrapText="1"/>
    </xf>
    <xf numFmtId="0" fontId="66" fillId="10" borderId="1" xfId="23" applyFont="1" applyFill="1" applyBorder="1" applyAlignment="1" applyProtection="1">
      <alignment horizontal="center" vertical="center" wrapText="1"/>
      <protection hidden="1"/>
    </xf>
    <xf numFmtId="9" fontId="66" fillId="10" borderId="1" xfId="23" applyNumberFormat="1" applyFont="1" applyFill="1" applyBorder="1" applyAlignment="1" applyProtection="1">
      <alignment horizontal="center" vertical="center" wrapText="1"/>
      <protection hidden="1"/>
    </xf>
    <xf numFmtId="176" fontId="26" fillId="0" borderId="0" xfId="20" applyNumberFormat="1" applyFont="1"/>
    <xf numFmtId="176" fontId="26" fillId="0" borderId="0" xfId="20" applyNumberFormat="1" applyFont="1" applyBorder="1" applyAlignment="1">
      <alignment horizontal="center" vertical="center" wrapText="1"/>
    </xf>
    <xf numFmtId="176" fontId="13" fillId="3" borderId="1" xfId="20" applyNumberFormat="1" applyFont="1" applyFill="1" applyBorder="1" applyAlignment="1" applyProtection="1">
      <alignment horizontal="center" vertical="center" wrapText="1"/>
      <protection hidden="1"/>
    </xf>
    <xf numFmtId="176" fontId="26" fillId="3" borderId="1" xfId="20" applyNumberFormat="1" applyFont="1" applyFill="1" applyBorder="1" applyAlignment="1">
      <alignment horizontal="center" vertical="center" wrapText="1"/>
    </xf>
    <xf numFmtId="176" fontId="19" fillId="0" borderId="0" xfId="20" applyNumberFormat="1" applyFont="1" applyAlignment="1">
      <alignment horizontal="center" vertical="center"/>
    </xf>
    <xf numFmtId="176" fontId="66" fillId="7" borderId="19" xfId="20" applyNumberFormat="1" applyFont="1" applyFill="1" applyBorder="1" applyAlignment="1">
      <alignment horizontal="center" vertical="center" wrapText="1"/>
    </xf>
    <xf numFmtId="9" fontId="5" fillId="7" borderId="19" xfId="0" applyNumberFormat="1" applyFont="1" applyFill="1" applyBorder="1" applyAlignment="1">
      <alignment horizontal="center" vertical="center" wrapText="1"/>
    </xf>
    <xf numFmtId="9" fontId="66" fillId="7" borderId="19" xfId="0" applyNumberFormat="1" applyFont="1" applyFill="1" applyBorder="1" applyAlignment="1">
      <alignment horizontal="center" vertical="center" wrapText="1"/>
    </xf>
    <xf numFmtId="9" fontId="5" fillId="7" borderId="1" xfId="0" applyNumberFormat="1" applyFont="1" applyFill="1" applyBorder="1" applyAlignment="1">
      <alignment horizontal="center" vertical="center" wrapText="1"/>
    </xf>
    <xf numFmtId="176" fontId="18" fillId="9" borderId="5" xfId="20" applyNumberFormat="1" applyFont="1" applyFill="1" applyBorder="1" applyAlignment="1">
      <alignment horizontal="center" vertical="center" wrapText="1"/>
    </xf>
    <xf numFmtId="0" fontId="66" fillId="7" borderId="19" xfId="0" applyFont="1" applyFill="1" applyBorder="1" applyAlignment="1">
      <alignment horizontal="center" vertical="center" wrapText="1"/>
    </xf>
    <xf numFmtId="0" fontId="66" fillId="9" borderId="19" xfId="0" applyFont="1" applyFill="1" applyBorder="1" applyAlignment="1">
      <alignment horizontal="center" vertical="center" wrapText="1"/>
    </xf>
    <xf numFmtId="176" fontId="66" fillId="9" borderId="19" xfId="20" applyNumberFormat="1" applyFont="1" applyFill="1" applyBorder="1" applyAlignment="1">
      <alignment horizontal="center" vertical="center" wrapText="1"/>
    </xf>
    <xf numFmtId="9" fontId="66" fillId="9" borderId="19" xfId="22" applyFont="1" applyFill="1" applyBorder="1" applyAlignment="1">
      <alignment horizontal="center" vertical="center" wrapText="1"/>
    </xf>
    <xf numFmtId="9" fontId="27" fillId="0" borderId="0" xfId="0" applyNumberFormat="1" applyFont="1"/>
    <xf numFmtId="9" fontId="28" fillId="0" borderId="0" xfId="0" applyNumberFormat="1" applyFont="1" applyBorder="1" applyAlignment="1">
      <alignment horizontal="center" vertical="center" wrapText="1"/>
    </xf>
    <xf numFmtId="9" fontId="23" fillId="0" borderId="0" xfId="0" applyNumberFormat="1" applyFont="1" applyBorder="1" applyAlignment="1">
      <alignment horizontal="center" vertical="center" wrapText="1"/>
    </xf>
    <xf numFmtId="9" fontId="14" fillId="7" borderId="19" xfId="0" applyNumberFormat="1" applyFont="1" applyFill="1" applyBorder="1" applyAlignment="1">
      <alignment horizontal="center" vertical="center" wrapText="1"/>
    </xf>
    <xf numFmtId="9" fontId="19"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9" fontId="66" fillId="9" borderId="19" xfId="0" applyNumberFormat="1" applyFont="1" applyFill="1" applyBorder="1" applyAlignment="1">
      <alignment horizontal="center" vertical="center" wrapText="1"/>
    </xf>
    <xf numFmtId="9" fontId="18" fillId="9" borderId="55" xfId="0" applyNumberFormat="1" applyFont="1" applyFill="1" applyBorder="1" applyAlignment="1">
      <alignment horizontal="center" vertical="center" wrapText="1"/>
    </xf>
    <xf numFmtId="9" fontId="0" fillId="0" borderId="0" xfId="0" applyNumberFormat="1" applyAlignment="1">
      <alignment horizontal="center" vertical="center"/>
    </xf>
    <xf numFmtId="176" fontId="65" fillId="0" borderId="0" xfId="20" applyNumberFormat="1" applyFont="1"/>
    <xf numFmtId="176" fontId="28" fillId="0" borderId="0" xfId="20" applyNumberFormat="1" applyFont="1" applyBorder="1" applyAlignment="1">
      <alignment horizontal="center" vertical="center" wrapText="1"/>
    </xf>
    <xf numFmtId="176" fontId="14" fillId="20" borderId="66" xfId="20" applyNumberFormat="1" applyFont="1" applyFill="1" applyBorder="1" applyAlignment="1" applyProtection="1">
      <alignment horizontal="center" vertical="center" wrapText="1"/>
      <protection hidden="1"/>
    </xf>
    <xf numFmtId="176" fontId="23" fillId="20" borderId="66" xfId="20" applyNumberFormat="1" applyFont="1" applyFill="1" applyBorder="1" applyAlignment="1">
      <alignment horizontal="center" vertical="center" wrapText="1"/>
    </xf>
    <xf numFmtId="176" fontId="65" fillId="0" borderId="0" xfId="20" applyNumberFormat="1" applyFont="1" applyAlignment="1">
      <alignment horizontal="center" vertical="center"/>
    </xf>
    <xf numFmtId="0" fontId="66" fillId="27" borderId="66" xfId="28" applyFont="1" applyFill="1" applyBorder="1" applyAlignment="1">
      <alignment horizontal="center" vertical="center" wrapText="1"/>
      <protection/>
    </xf>
    <xf numFmtId="176" fontId="69" fillId="27" borderId="66" xfId="20" applyNumberFormat="1" applyFont="1" applyFill="1" applyBorder="1" applyAlignment="1">
      <alignment horizontal="center" vertical="center" wrapText="1"/>
    </xf>
    <xf numFmtId="176" fontId="69" fillId="24" borderId="66" xfId="20" applyNumberFormat="1" applyFont="1" applyFill="1" applyBorder="1" applyAlignment="1">
      <alignment horizontal="center" vertical="center" wrapText="1"/>
    </xf>
    <xf numFmtId="9" fontId="66" fillId="33" borderId="66" xfId="22" applyFont="1" applyFill="1" applyBorder="1" applyAlignment="1">
      <alignment horizontal="center" vertical="center" wrapText="1"/>
    </xf>
    <xf numFmtId="9" fontId="67" fillId="23" borderId="66" xfId="22" applyFont="1" applyFill="1" applyBorder="1" applyAlignment="1">
      <alignment horizontal="center" vertical="center" wrapText="1"/>
    </xf>
    <xf numFmtId="176" fontId="69" fillId="23" borderId="66" xfId="20" applyNumberFormat="1" applyFont="1" applyFill="1" applyBorder="1" applyAlignment="1">
      <alignment horizontal="center" vertical="center" wrapText="1"/>
    </xf>
    <xf numFmtId="0" fontId="66" fillId="33" borderId="66" xfId="28" applyFont="1" applyFill="1" applyBorder="1" applyAlignment="1">
      <alignment horizontal="center" vertical="center" wrapText="1"/>
      <protection/>
    </xf>
    <xf numFmtId="176" fontId="66" fillId="33" borderId="66" xfId="20" applyNumberFormat="1" applyFont="1" applyFill="1" applyBorder="1" applyAlignment="1">
      <alignment horizontal="center" vertical="center" wrapText="1"/>
    </xf>
    <xf numFmtId="176" fontId="69" fillId="22" borderId="66" xfId="20" applyNumberFormat="1" applyFont="1" applyFill="1" applyBorder="1" applyAlignment="1" applyProtection="1">
      <alignment horizontal="center" vertical="center" wrapText="1"/>
      <protection hidden="1"/>
    </xf>
    <xf numFmtId="176" fontId="19" fillId="0" borderId="0" xfId="20" applyNumberFormat="1" applyFont="1" applyFill="1" applyAlignment="1">
      <alignment horizontal="center" vertical="center" wrapText="1"/>
    </xf>
    <xf numFmtId="176" fontId="17" fillId="0" borderId="0" xfId="20" applyNumberFormat="1" applyFont="1" applyFill="1" applyAlignment="1">
      <alignment horizontal="center" vertical="center" wrapText="1"/>
    </xf>
    <xf numFmtId="0" fontId="26" fillId="7"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6" fillId="9" borderId="1" xfId="0" applyFont="1" applyFill="1" applyBorder="1" applyAlignment="1">
      <alignment horizontal="center" vertical="center" wrapText="1"/>
    </xf>
    <xf numFmtId="167" fontId="26" fillId="3" borderId="1" xfId="0" applyNumberFormat="1" applyFont="1" applyFill="1" applyBorder="1" applyAlignment="1">
      <alignment horizontal="center" vertical="center" wrapText="1"/>
    </xf>
    <xf numFmtId="9" fontId="70" fillId="0" borderId="0" xfId="22" applyFont="1" applyAlignment="1">
      <alignment horizontal="center" vertical="center"/>
    </xf>
    <xf numFmtId="0" fontId="70" fillId="0" borderId="0" xfId="0" applyFont="1" applyAlignment="1">
      <alignment horizontal="center" vertical="center"/>
    </xf>
    <xf numFmtId="176" fontId="2" fillId="0" borderId="0" xfId="20" applyNumberFormat="1" applyFont="1"/>
    <xf numFmtId="176" fontId="12" fillId="0" borderId="0" xfId="20" applyNumberFormat="1" applyFont="1" applyBorder="1" applyAlignment="1">
      <alignment horizontal="center" vertical="center" wrapText="1"/>
    </xf>
    <xf numFmtId="176" fontId="70" fillId="0" borderId="0" xfId="20" applyNumberFormat="1" applyFont="1" applyAlignment="1">
      <alignment horizontal="center" vertical="center"/>
    </xf>
    <xf numFmtId="176" fontId="3" fillId="0" borderId="0" xfId="20" applyNumberFormat="1" applyFont="1" applyAlignment="1">
      <alignment horizontal="center" vertical="center"/>
    </xf>
    <xf numFmtId="176" fontId="57" fillId="0" borderId="0" xfId="20" applyNumberFormat="1" applyFont="1"/>
    <xf numFmtId="176" fontId="66" fillId="35" borderId="66" xfId="20" applyNumberFormat="1" applyFont="1" applyFill="1" applyBorder="1" applyAlignment="1">
      <alignment horizontal="center" vertical="center" wrapText="1"/>
    </xf>
    <xf numFmtId="176" fontId="66" fillId="35" borderId="66" xfId="20" applyNumberFormat="1" applyFont="1" applyFill="1" applyBorder="1" applyAlignment="1">
      <alignment horizontal="center" vertical="center" wrapText="1"/>
    </xf>
    <xf numFmtId="176" fontId="66" fillId="34" borderId="66" xfId="20" applyNumberFormat="1" applyFont="1" applyFill="1" applyBorder="1" applyAlignment="1">
      <alignment horizontal="center" vertical="center" wrapText="1"/>
    </xf>
    <xf numFmtId="176" fontId="67" fillId="28" borderId="66" xfId="20" applyNumberFormat="1" applyFont="1" applyFill="1" applyBorder="1" applyAlignment="1">
      <alignment horizontal="center" vertical="center" wrapText="1"/>
    </xf>
    <xf numFmtId="176" fontId="66" fillId="24" borderId="66" xfId="20" applyNumberFormat="1" applyFont="1" applyFill="1" applyBorder="1" applyAlignment="1">
      <alignment horizontal="center" vertical="center" wrapText="1"/>
    </xf>
    <xf numFmtId="176" fontId="67" fillId="28" borderId="66" xfId="20" applyNumberFormat="1" applyFont="1" applyFill="1" applyBorder="1" applyAlignment="1">
      <alignment horizontal="center" vertical="center" wrapText="1"/>
    </xf>
    <xf numFmtId="176" fontId="66" fillId="22" borderId="66" xfId="20" applyNumberFormat="1" applyFont="1" applyFill="1" applyBorder="1" applyAlignment="1" applyProtection="1">
      <alignment horizontal="center" vertical="center" wrapText="1"/>
      <protection hidden="1"/>
    </xf>
    <xf numFmtId="10" fontId="39" fillId="2" borderId="1" xfId="0" applyNumberFormat="1" applyFont="1" applyFill="1" applyBorder="1" applyAlignment="1" applyProtection="1">
      <alignment horizontal="center" vertical="center" wrapText="1"/>
      <protection locked="0"/>
    </xf>
    <xf numFmtId="9" fontId="39" fillId="9" borderId="1" xfId="0" applyNumberFormat="1" applyFont="1" applyFill="1" applyBorder="1" applyAlignment="1" applyProtection="1">
      <alignment horizontal="center" vertical="center" wrapText="1"/>
      <protection locked="0"/>
    </xf>
    <xf numFmtId="9" fontId="39" fillId="7" borderId="1" xfId="0" applyNumberFormat="1" applyFont="1" applyFill="1" applyBorder="1" applyAlignment="1" applyProtection="1">
      <alignment horizontal="center" vertical="center" wrapText="1"/>
      <protection locked="0"/>
    </xf>
    <xf numFmtId="9" fontId="39" fillId="7" borderId="1" xfId="0" applyNumberFormat="1" applyFont="1" applyFill="1" applyBorder="1" applyAlignment="1" applyProtection="1">
      <alignment horizontal="center" vertical="center" wrapText="1"/>
      <protection/>
    </xf>
    <xf numFmtId="9" fontId="39" fillId="2" borderId="1" xfId="0" applyNumberFormat="1" applyFont="1" applyFill="1" applyBorder="1" applyAlignment="1" applyProtection="1">
      <alignment horizontal="center" vertical="center" wrapText="1"/>
      <protection locked="0"/>
    </xf>
    <xf numFmtId="9" fontId="45" fillId="10" borderId="1" xfId="23" applyNumberFormat="1" applyFont="1" applyFill="1" applyBorder="1" applyAlignment="1" applyProtection="1">
      <alignment horizontal="center" vertical="center" wrapText="1"/>
      <protection locked="0"/>
    </xf>
    <xf numFmtId="10" fontId="45" fillId="10" borderId="1" xfId="23" applyNumberFormat="1" applyFont="1" applyFill="1" applyBorder="1" applyAlignment="1" applyProtection="1">
      <alignment horizontal="center" vertical="center" wrapText="1"/>
      <protection hidden="1"/>
    </xf>
    <xf numFmtId="9" fontId="39" fillId="3" borderId="1" xfId="22" applyFont="1" applyFill="1" applyBorder="1" applyAlignment="1" applyProtection="1">
      <alignment horizontal="center" vertical="center" wrapText="1"/>
      <protection hidden="1"/>
    </xf>
    <xf numFmtId="9" fontId="52" fillId="15" borderId="66" xfId="22" applyFont="1" applyFill="1" applyBorder="1" applyAlignment="1" applyProtection="1">
      <alignment horizontal="center" vertical="center" wrapText="1"/>
      <protection hidden="1"/>
    </xf>
    <xf numFmtId="176" fontId="39" fillId="3" borderId="1" xfId="20" applyNumberFormat="1" applyFont="1" applyFill="1" applyBorder="1" applyAlignment="1" applyProtection="1">
      <alignment horizontal="center" vertical="center" wrapText="1"/>
      <protection hidden="1"/>
    </xf>
    <xf numFmtId="9" fontId="71" fillId="15" borderId="66" xfId="22" applyFont="1" applyFill="1" applyBorder="1" applyAlignment="1" applyProtection="1">
      <alignment horizontal="center" vertical="center" wrapText="1"/>
      <protection hidden="1"/>
    </xf>
    <xf numFmtId="9" fontId="23" fillId="3" borderId="6" xfId="22" applyFont="1" applyFill="1" applyBorder="1" applyAlignment="1">
      <alignment horizontal="center" vertical="center" wrapText="1"/>
    </xf>
    <xf numFmtId="0" fontId="5" fillId="7" borderId="63" xfId="0" applyFont="1" applyFill="1" applyBorder="1" applyAlignment="1">
      <alignment horizontal="center" vertical="center" wrapText="1"/>
    </xf>
    <xf numFmtId="9" fontId="5" fillId="7" borderId="63" xfId="22" applyFont="1" applyFill="1" applyBorder="1" applyAlignment="1">
      <alignment horizontal="center" vertical="center" wrapText="1"/>
    </xf>
    <xf numFmtId="176" fontId="5" fillId="7" borderId="63" xfId="20" applyNumberFormat="1" applyFont="1" applyFill="1" applyBorder="1" applyAlignment="1">
      <alignment horizontal="center" vertical="center" wrapText="1"/>
    </xf>
    <xf numFmtId="9" fontId="5" fillId="7" borderId="63" xfId="0" applyNumberFormat="1" applyFont="1" applyFill="1" applyBorder="1" applyAlignment="1">
      <alignment horizontal="center" vertical="center" wrapText="1"/>
    </xf>
    <xf numFmtId="0" fontId="17" fillId="7" borderId="63" xfId="0" applyFont="1" applyFill="1" applyBorder="1" applyAlignment="1">
      <alignment horizontal="center" vertical="center" wrapText="1"/>
    </xf>
    <xf numFmtId="0" fontId="69" fillId="2" borderId="63" xfId="0" applyFont="1" applyFill="1" applyBorder="1" applyAlignment="1">
      <alignment horizontal="center" vertical="center" wrapText="1"/>
    </xf>
    <xf numFmtId="9" fontId="69" fillId="2" borderId="63" xfId="22" applyFont="1" applyFill="1" applyBorder="1" applyAlignment="1">
      <alignment horizontal="center" vertical="center" wrapText="1"/>
    </xf>
    <xf numFmtId="176" fontId="69" fillId="2" borderId="63" xfId="20" applyNumberFormat="1" applyFont="1" applyFill="1" applyBorder="1" applyAlignment="1">
      <alignment horizontal="center" vertical="center" wrapText="1"/>
    </xf>
    <xf numFmtId="9" fontId="69" fillId="2" borderId="63" xfId="0" applyNumberFormat="1" applyFont="1" applyFill="1" applyBorder="1" applyAlignment="1">
      <alignment horizontal="center" vertical="center" wrapText="1"/>
    </xf>
    <xf numFmtId="0" fontId="13" fillId="2" borderId="63" xfId="0" applyFont="1" applyFill="1" applyBorder="1" applyAlignment="1">
      <alignment horizontal="center" vertical="center" wrapText="1"/>
    </xf>
    <xf numFmtId="9" fontId="66" fillId="10" borderId="63" xfId="22" applyFont="1" applyFill="1" applyBorder="1" applyAlignment="1" applyProtection="1">
      <alignment horizontal="center" vertical="center" wrapText="1"/>
      <protection hidden="1"/>
    </xf>
    <xf numFmtId="176" fontId="66" fillId="10" borderId="63" xfId="20" applyNumberFormat="1" applyFont="1" applyFill="1" applyBorder="1" applyAlignment="1" applyProtection="1">
      <alignment horizontal="center" vertical="center" wrapText="1"/>
      <protection hidden="1"/>
    </xf>
    <xf numFmtId="9" fontId="26" fillId="3" borderId="1" xfId="22" applyFont="1" applyFill="1" applyBorder="1" applyAlignment="1">
      <alignment horizontal="center" vertical="center" wrapText="1"/>
    </xf>
    <xf numFmtId="9" fontId="39" fillId="3" borderId="1" xfId="23" applyNumberFormat="1" applyFont="1" applyFill="1" applyBorder="1" applyAlignment="1" applyProtection="1">
      <alignment horizontal="center" vertical="center" wrapText="1"/>
      <protection hidden="1"/>
    </xf>
    <xf numFmtId="9" fontId="23" fillId="15" borderId="66" xfId="22" applyFont="1" applyFill="1" applyBorder="1" applyAlignment="1">
      <alignment horizontal="center" vertical="center" wrapText="1"/>
    </xf>
    <xf numFmtId="9" fontId="52" fillId="15" borderId="66" xfId="22" applyNumberFormat="1" applyFont="1" applyFill="1" applyBorder="1" applyAlignment="1" applyProtection="1">
      <alignment horizontal="center" vertical="center" wrapText="1"/>
      <protection hidden="1"/>
    </xf>
    <xf numFmtId="9" fontId="46" fillId="15" borderId="66" xfId="22" applyFont="1" applyFill="1" applyBorder="1" applyAlignment="1">
      <alignment horizontal="center" vertical="center" wrapText="1"/>
    </xf>
    <xf numFmtId="1" fontId="13" fillId="3" borderId="21" xfId="23" applyNumberFormat="1" applyFont="1" applyFill="1" applyBorder="1" applyAlignment="1" applyProtection="1">
      <alignment horizontal="center" vertical="center" wrapText="1"/>
      <protection hidden="1"/>
    </xf>
    <xf numFmtId="176" fontId="13" fillId="3" borderId="21" xfId="20" applyNumberFormat="1" applyFont="1" applyFill="1" applyBorder="1" applyAlignment="1" applyProtection="1">
      <alignment horizontal="center" vertical="center" wrapText="1"/>
      <protection hidden="1"/>
    </xf>
    <xf numFmtId="0" fontId="13" fillId="3" borderId="21" xfId="23" applyFont="1" applyFill="1" applyBorder="1" applyAlignment="1" applyProtection="1">
      <alignment horizontal="center" vertical="center" wrapText="1"/>
      <protection hidden="1"/>
    </xf>
    <xf numFmtId="1" fontId="46" fillId="15" borderId="66" xfId="28" applyNumberFormat="1" applyFont="1" applyFill="1" applyBorder="1" applyAlignment="1">
      <alignment horizontal="center" vertical="center" wrapText="1"/>
      <protection/>
    </xf>
    <xf numFmtId="176" fontId="46" fillId="15" borderId="66" xfId="20" applyNumberFormat="1" applyFont="1" applyFill="1" applyBorder="1" applyAlignment="1">
      <alignment horizontal="center" vertical="center" wrapText="1"/>
    </xf>
    <xf numFmtId="9" fontId="46" fillId="15" borderId="66" xfId="28" applyNumberFormat="1" applyFont="1" applyFill="1" applyBorder="1" applyAlignment="1">
      <alignment horizontal="center" vertical="center" wrapText="1"/>
      <protection/>
    </xf>
    <xf numFmtId="176" fontId="46" fillId="15" borderId="66" xfId="20" applyNumberFormat="1" applyFont="1" applyFill="1" applyBorder="1" applyAlignment="1">
      <alignment vertical="center" wrapText="1"/>
    </xf>
    <xf numFmtId="0" fontId="46" fillId="15" borderId="66" xfId="28" applyFont="1" applyFill="1" applyBorder="1" applyAlignment="1">
      <alignment horizontal="center" vertical="center" wrapText="1"/>
      <protection/>
    </xf>
    <xf numFmtId="1" fontId="52" fillId="15" borderId="66" xfId="29" applyNumberFormat="1" applyFont="1" applyFill="1" applyBorder="1" applyAlignment="1" applyProtection="1">
      <alignment horizontal="center" vertical="center" wrapText="1"/>
      <protection hidden="1"/>
    </xf>
    <xf numFmtId="176" fontId="52" fillId="15" borderId="66" xfId="20" applyNumberFormat="1" applyFont="1" applyFill="1" applyBorder="1" applyAlignment="1" applyProtection="1">
      <alignment horizontal="center" vertical="center" wrapText="1"/>
      <protection hidden="1"/>
    </xf>
    <xf numFmtId="0" fontId="52" fillId="15" borderId="66" xfId="29" applyFont="1" applyFill="1" applyBorder="1" applyAlignment="1" applyProtection="1">
      <alignment horizontal="center" vertical="center" wrapText="1"/>
      <protection hidden="1"/>
    </xf>
    <xf numFmtId="167" fontId="46" fillId="15" borderId="66" xfId="28" applyNumberFormat="1" applyFont="1" applyFill="1" applyBorder="1" applyAlignment="1">
      <alignment horizontal="center" vertical="center" wrapText="1"/>
      <protection/>
    </xf>
    <xf numFmtId="9" fontId="41" fillId="15" borderId="1" xfId="28" applyNumberFormat="1" applyFont="1" applyFill="1" applyBorder="1" applyAlignment="1">
      <alignment horizontal="center" vertical="center" wrapText="1"/>
      <protection/>
    </xf>
    <xf numFmtId="0" fontId="19" fillId="0" borderId="0" xfId="0" applyFont="1" applyBorder="1" applyAlignment="1">
      <alignment horizontal="center" vertical="center" wrapText="1"/>
    </xf>
    <xf numFmtId="0" fontId="13" fillId="2" borderId="1" xfId="0" applyFont="1" applyFill="1" applyBorder="1" applyAlignment="1">
      <alignment horizontal="center" vertical="center" wrapText="1"/>
    </xf>
    <xf numFmtId="0" fontId="0" fillId="0" borderId="0" xfId="0" applyAlignment="1">
      <alignment horizontal="center" vertical="center"/>
    </xf>
    <xf numFmtId="9" fontId="23" fillId="3" borderId="12" xfId="22" applyFont="1" applyFill="1" applyBorder="1" applyAlignment="1">
      <alignment horizontal="center" vertical="center" wrapText="1"/>
    </xf>
    <xf numFmtId="9" fontId="1" fillId="5" borderId="28" xfId="22" applyFont="1" applyFill="1" applyBorder="1" applyAlignment="1" applyProtection="1">
      <alignment horizontal="center" vertical="center" wrapText="1"/>
      <protection hidden="1"/>
    </xf>
    <xf numFmtId="9" fontId="1" fillId="5" borderId="53" xfId="22" applyFont="1" applyFill="1" applyBorder="1" applyAlignment="1" applyProtection="1">
      <alignment horizontal="center" vertical="center" wrapText="1"/>
      <protection hidden="1"/>
    </xf>
    <xf numFmtId="9" fontId="1" fillId="6" borderId="28" xfId="22" applyFont="1" applyFill="1" applyBorder="1" applyAlignment="1" applyProtection="1">
      <alignment horizontal="center" vertical="center" wrapText="1"/>
      <protection hidden="1"/>
    </xf>
    <xf numFmtId="9" fontId="1" fillId="6" borderId="53" xfId="22" applyFont="1" applyFill="1" applyBorder="1" applyAlignment="1" applyProtection="1">
      <alignment horizontal="center" vertical="center" wrapText="1"/>
      <protection hidden="1"/>
    </xf>
    <xf numFmtId="0" fontId="18" fillId="6" borderId="6" xfId="23" applyFont="1" applyFill="1" applyBorder="1" applyAlignment="1" applyProtection="1">
      <alignment horizontal="center" vertical="center" wrapText="1"/>
      <protection hidden="1"/>
    </xf>
    <xf numFmtId="0" fontId="18" fillId="5" borderId="55" xfId="23" applyFont="1" applyFill="1" applyBorder="1" applyAlignment="1" applyProtection="1">
      <alignment horizontal="center" vertical="center" wrapText="1"/>
      <protection hidden="1"/>
    </xf>
    <xf numFmtId="0" fontId="18" fillId="5" borderId="6" xfId="23" applyFont="1" applyFill="1" applyBorder="1" applyAlignment="1" applyProtection="1">
      <alignment horizontal="center" vertical="center" wrapText="1"/>
      <protection hidden="1"/>
    </xf>
    <xf numFmtId="0" fontId="18" fillId="5" borderId="6" xfId="23" applyFont="1" applyFill="1" applyBorder="1" applyAlignment="1" applyProtection="1" quotePrefix="1">
      <alignment horizontal="center" vertical="center" wrapText="1"/>
      <protection hidden="1"/>
    </xf>
    <xf numFmtId="0" fontId="1" fillId="6" borderId="12" xfId="23" applyFont="1" applyFill="1" applyBorder="1" applyAlignment="1" applyProtection="1">
      <alignment horizontal="center" vertical="center" wrapText="1"/>
      <protection hidden="1"/>
    </xf>
    <xf numFmtId="0" fontId="1" fillId="17" borderId="66" xfId="29" applyFont="1" applyFill="1" applyBorder="1" applyAlignment="1" applyProtection="1">
      <alignment horizontal="center" vertical="center" wrapText="1"/>
      <protection hidden="1"/>
    </xf>
    <xf numFmtId="0" fontId="43" fillId="2" borderId="1"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0" borderId="120" xfId="28" applyFont="1" applyFill="1" applyBorder="1" applyAlignment="1">
      <alignment horizontal="center" vertical="center" wrapText="1"/>
      <protection/>
    </xf>
    <xf numFmtId="0" fontId="1" fillId="0" borderId="76" xfId="28" applyFont="1" applyBorder="1" applyAlignment="1">
      <alignment horizontal="center" vertical="center" wrapText="1"/>
      <protection/>
    </xf>
    <xf numFmtId="0" fontId="1" fillId="6" borderId="10" xfId="0" applyFont="1" applyFill="1" applyBorder="1" applyAlignment="1">
      <alignment horizontal="center" vertical="center" wrapText="1"/>
    </xf>
    <xf numFmtId="0" fontId="1" fillId="17" borderId="68" xfId="28" applyFont="1" applyFill="1" applyBorder="1" applyAlignment="1">
      <alignment horizontal="center" vertical="center" wrapText="1"/>
      <protection/>
    </xf>
    <xf numFmtId="0" fontId="1" fillId="17" borderId="1" xfId="28" applyFont="1" applyFill="1" applyBorder="1" applyAlignment="1">
      <alignment horizontal="center" vertical="center" wrapText="1"/>
      <protection/>
    </xf>
    <xf numFmtId="0" fontId="19" fillId="6" borderId="40" xfId="23" applyFont="1" applyFill="1" applyBorder="1" applyAlignment="1" applyProtection="1">
      <alignment horizontal="center" vertical="center" wrapText="1"/>
      <protection hidden="1"/>
    </xf>
    <xf numFmtId="0" fontId="36" fillId="17" borderId="121" xfId="29" applyFont="1" applyFill="1" applyBorder="1" applyAlignment="1" applyProtection="1">
      <alignment horizontal="center" vertical="center" wrapText="1"/>
      <protection hidden="1"/>
    </xf>
    <xf numFmtId="0" fontId="1" fillId="21" borderId="66" xfId="29" applyFont="1" applyFill="1" applyBorder="1" applyAlignment="1" applyProtection="1">
      <alignment horizontal="center" vertical="center" wrapText="1"/>
      <protection hidden="1"/>
    </xf>
    <xf numFmtId="0" fontId="1" fillId="17" borderId="84" xfId="28" applyFont="1" applyFill="1" applyBorder="1" applyAlignment="1">
      <alignment horizontal="center" vertical="center" wrapText="1"/>
      <protection/>
    </xf>
    <xf numFmtId="0" fontId="1" fillId="17" borderId="122" xfId="28" applyFont="1" applyFill="1" applyBorder="1" applyAlignment="1">
      <alignment horizontal="center" vertical="center" wrapText="1"/>
      <protection/>
    </xf>
    <xf numFmtId="0" fontId="1" fillId="17" borderId="30" xfId="28" applyFont="1" applyFill="1" applyBorder="1" applyAlignment="1">
      <alignment horizontal="center" vertical="center" wrapText="1"/>
      <protection/>
    </xf>
    <xf numFmtId="0" fontId="73" fillId="17" borderId="66" xfId="29" applyFont="1" applyFill="1" applyBorder="1" applyAlignment="1" applyProtection="1">
      <alignment horizontal="center" wrapText="1"/>
      <protection hidden="1"/>
    </xf>
    <xf numFmtId="0" fontId="1" fillId="21" borderId="94" xfId="28" applyFont="1" applyFill="1" applyBorder="1" applyAlignment="1">
      <alignment horizontal="center" vertical="center" wrapText="1"/>
      <protection/>
    </xf>
    <xf numFmtId="0" fontId="1" fillId="21" borderId="89" xfId="28" applyFont="1" applyFill="1" applyBorder="1" applyAlignment="1">
      <alignment horizontal="center" vertical="center" wrapText="1"/>
      <protection/>
    </xf>
    <xf numFmtId="0" fontId="1" fillId="21" borderId="71" xfId="29" applyFont="1" applyFill="1" applyBorder="1" applyAlignment="1" applyProtection="1">
      <alignment horizontal="center" vertical="center" wrapText="1"/>
      <protection hidden="1"/>
    </xf>
    <xf numFmtId="0" fontId="1" fillId="21" borderId="94" xfId="28" applyFont="1" applyFill="1" applyBorder="1" applyAlignment="1">
      <alignment horizontal="center" vertical="center" wrapText="1"/>
      <protection/>
    </xf>
    <xf numFmtId="0" fontId="1" fillId="17" borderId="66" xfId="28" applyFont="1" applyFill="1" applyBorder="1" applyAlignment="1">
      <alignment horizontal="center" vertical="center" wrapText="1"/>
      <protection/>
    </xf>
    <xf numFmtId="0" fontId="1" fillId="17" borderId="70" xfId="29" applyFont="1" applyFill="1" applyBorder="1" applyAlignment="1" applyProtection="1">
      <alignment horizontal="center" vertical="center" wrapText="1"/>
      <protection hidden="1"/>
    </xf>
    <xf numFmtId="0" fontId="1" fillId="17" borderId="79" xfId="29" applyFont="1" applyFill="1" applyBorder="1" applyAlignment="1" applyProtection="1">
      <alignment horizontal="center" vertical="center" wrapText="1"/>
      <protection hidden="1"/>
    </xf>
    <xf numFmtId="1" fontId="23" fillId="3" borderId="12" xfId="0" applyNumberFormat="1" applyFont="1" applyFill="1" applyBorder="1" applyAlignment="1">
      <alignment horizontal="center" vertical="center" wrapText="1"/>
    </xf>
    <xf numFmtId="0" fontId="22" fillId="5" borderId="11" xfId="23" applyFont="1" applyFill="1" applyBorder="1" applyAlignment="1" applyProtection="1">
      <alignment horizontal="center" vertical="center" wrapText="1"/>
      <protection hidden="1"/>
    </xf>
    <xf numFmtId="3" fontId="22" fillId="5" borderId="11" xfId="0" applyNumberFormat="1" applyFont="1" applyFill="1" applyBorder="1" applyAlignment="1">
      <alignment horizontal="center" vertical="center" wrapText="1"/>
    </xf>
    <xf numFmtId="1" fontId="1" fillId="0" borderId="22" xfId="20" applyNumberFormat="1" applyFont="1" applyBorder="1" applyAlignment="1">
      <alignment horizontal="center" vertical="center" wrapText="1"/>
    </xf>
    <xf numFmtId="0" fontId="1" fillId="6" borderId="6" xfId="23" applyFont="1" applyFill="1" applyBorder="1" applyAlignment="1" applyProtection="1">
      <alignment vertical="center" wrapText="1"/>
      <protection hidden="1"/>
    </xf>
    <xf numFmtId="0" fontId="74" fillId="4" borderId="1" xfId="23" applyFont="1" applyFill="1" applyBorder="1" applyAlignment="1" applyProtection="1">
      <alignment horizontal="center" vertical="center" wrapText="1"/>
      <protection hidden="1"/>
    </xf>
    <xf numFmtId="0" fontId="75" fillId="4" borderId="1" xfId="0" applyFont="1" applyFill="1" applyBorder="1" applyAlignment="1">
      <alignment horizontal="center" vertical="center" wrapText="1"/>
    </xf>
    <xf numFmtId="0" fontId="76" fillId="4" borderId="1" xfId="0" applyFont="1" applyFill="1" applyBorder="1" applyAlignment="1">
      <alignment horizontal="center" vertical="center" wrapText="1"/>
    </xf>
    <xf numFmtId="0" fontId="77" fillId="4" borderId="1" xfId="0" applyFont="1" applyFill="1" applyBorder="1" applyAlignment="1">
      <alignment horizontal="center" vertical="center" wrapText="1"/>
    </xf>
    <xf numFmtId="0" fontId="74" fillId="4" borderId="1" xfId="0" applyFont="1" applyFill="1" applyBorder="1" applyAlignment="1">
      <alignment horizontal="center" vertical="center" wrapText="1"/>
    </xf>
    <xf numFmtId="0" fontId="77" fillId="4" borderId="1" xfId="23" applyFont="1" applyFill="1" applyBorder="1" applyAlignment="1" applyProtection="1">
      <alignment horizontal="center" vertical="center" wrapText="1"/>
      <protection hidden="1"/>
    </xf>
    <xf numFmtId="43" fontId="74" fillId="4" borderId="1" xfId="20" applyFont="1" applyFill="1" applyBorder="1" applyAlignment="1">
      <alignment horizontal="center" vertical="center" wrapText="1"/>
    </xf>
    <xf numFmtId="43" fontId="74" fillId="4" borderId="1" xfId="20" applyFont="1" applyFill="1" applyBorder="1" applyAlignment="1" applyProtection="1">
      <alignment horizontal="center" vertical="center" wrapText="1"/>
      <protection hidden="1"/>
    </xf>
    <xf numFmtId="177" fontId="74" fillId="4" borderId="1" xfId="20" applyNumberFormat="1" applyFont="1" applyFill="1" applyBorder="1" applyAlignment="1">
      <alignment horizontal="center" vertical="center" wrapText="1"/>
    </xf>
    <xf numFmtId="176" fontId="74" fillId="4" borderId="1" xfId="20" applyNumberFormat="1" applyFont="1" applyFill="1" applyBorder="1" applyAlignment="1">
      <alignment horizontal="center" vertical="center" wrapText="1"/>
    </xf>
    <xf numFmtId="9" fontId="74" fillId="4" borderId="1" xfId="22" applyFont="1" applyFill="1" applyBorder="1" applyAlignment="1" applyProtection="1">
      <alignment horizontal="center" vertical="center" wrapText="1"/>
      <protection hidden="1"/>
    </xf>
    <xf numFmtId="9" fontId="74" fillId="4" borderId="1" xfId="22" applyFont="1" applyFill="1" applyBorder="1" applyAlignment="1">
      <alignment horizontal="center" vertical="center" wrapText="1"/>
    </xf>
    <xf numFmtId="0" fontId="74" fillId="4" borderId="1" xfId="22" applyNumberFormat="1" applyFont="1" applyFill="1" applyBorder="1" applyAlignment="1">
      <alignment horizontal="center" vertical="center" wrapText="1"/>
    </xf>
    <xf numFmtId="0" fontId="74" fillId="4" borderId="1" xfId="23" applyFont="1" applyFill="1" applyBorder="1" applyAlignment="1" applyProtection="1">
      <alignment horizontal="center" vertical="center" wrapText="1"/>
      <protection locked="0"/>
    </xf>
    <xf numFmtId="0" fontId="77" fillId="4" borderId="1" xfId="0" applyFont="1" applyFill="1" applyBorder="1" applyAlignment="1" applyProtection="1">
      <alignment horizontal="center" vertical="center" wrapText="1"/>
      <protection locked="0"/>
    </xf>
    <xf numFmtId="0" fontId="77" fillId="4" borderId="1" xfId="23" applyFont="1" applyFill="1" applyBorder="1" applyAlignment="1" applyProtection="1">
      <alignment horizontal="center" vertical="center" wrapText="1"/>
      <protection locked="0"/>
    </xf>
    <xf numFmtId="0" fontId="77" fillId="4" borderId="12" xfId="0" applyFont="1" applyFill="1" applyBorder="1" applyAlignment="1" applyProtection="1">
      <alignment vertical="center" wrapText="1"/>
      <protection locked="0"/>
    </xf>
    <xf numFmtId="0" fontId="77" fillId="36" borderId="66" xfId="28" applyFont="1" applyFill="1" applyBorder="1" applyAlignment="1">
      <alignment horizontal="center" vertical="center" wrapText="1"/>
      <protection/>
    </xf>
    <xf numFmtId="0" fontId="74" fillId="4" borderId="1" xfId="0" applyFont="1" applyFill="1" applyBorder="1" applyAlignment="1" applyProtection="1">
      <alignment horizontal="center" vertical="center" wrapText="1"/>
      <protection/>
    </xf>
    <xf numFmtId="9" fontId="74" fillId="4" borderId="1" xfId="22" applyNumberFormat="1" applyFont="1" applyFill="1" applyBorder="1" applyAlignment="1" applyProtection="1">
      <alignment horizontal="center" vertical="center" wrapText="1"/>
      <protection/>
    </xf>
    <xf numFmtId="0" fontId="74" fillId="4" borderId="1" xfId="0" applyFont="1" applyFill="1" applyBorder="1" applyAlignment="1" applyProtection="1">
      <alignment horizontal="center" vertical="center" wrapText="1"/>
      <protection locked="0"/>
    </xf>
    <xf numFmtId="9" fontId="74" fillId="4" borderId="1" xfId="22" applyFont="1" applyFill="1" applyBorder="1" applyAlignment="1" applyProtection="1">
      <alignment horizontal="center" vertical="center" wrapText="1"/>
      <protection locked="0"/>
    </xf>
    <xf numFmtId="9" fontId="74" fillId="4" borderId="1" xfId="22" applyFont="1" applyFill="1" applyBorder="1" applyAlignment="1" applyProtection="1">
      <alignment horizontal="center" vertical="center" wrapText="1"/>
      <protection/>
    </xf>
    <xf numFmtId="0" fontId="74" fillId="4" borderId="1" xfId="23" applyFont="1" applyFill="1" applyBorder="1" applyAlignment="1" applyProtection="1">
      <alignment horizontal="center" vertical="center" wrapText="1"/>
      <protection/>
    </xf>
    <xf numFmtId="0" fontId="74" fillId="37" borderId="66" xfId="28" applyFont="1" applyFill="1" applyBorder="1" applyAlignment="1">
      <alignment horizontal="center" vertical="center" wrapText="1"/>
      <protection/>
    </xf>
    <xf numFmtId="0" fontId="74" fillId="36" borderId="66" xfId="28" applyFont="1" applyFill="1" applyBorder="1" applyAlignment="1">
      <alignment horizontal="center" vertical="center" wrapText="1"/>
      <protection/>
    </xf>
    <xf numFmtId="176" fontId="19" fillId="0" borderId="11" xfId="20" applyNumberFormat="1" applyFont="1" applyBorder="1" applyAlignment="1">
      <alignment horizontal="center" vertical="center" wrapText="1"/>
    </xf>
    <xf numFmtId="9" fontId="74" fillId="4" borderId="1" xfId="0" applyNumberFormat="1" applyFont="1" applyFill="1" applyBorder="1" applyAlignment="1" applyProtection="1">
      <alignment horizontal="center" vertical="center" wrapText="1"/>
      <protection locked="0"/>
    </xf>
    <xf numFmtId="0" fontId="74" fillId="4" borderId="1" xfId="0" applyNumberFormat="1" applyFont="1" applyFill="1" applyBorder="1" applyAlignment="1" applyProtection="1">
      <alignment horizontal="center" vertical="center" wrapText="1"/>
      <protection locked="0"/>
    </xf>
    <xf numFmtId="9" fontId="74" fillId="37" borderId="66" xfId="22" applyFont="1" applyFill="1" applyBorder="1" applyAlignment="1">
      <alignment horizontal="center" vertical="center" wrapText="1"/>
    </xf>
    <xf numFmtId="9" fontId="74" fillId="36" borderId="66" xfId="22" applyFont="1" applyFill="1" applyBorder="1" applyAlignment="1">
      <alignment horizontal="center" vertical="center" wrapText="1"/>
    </xf>
    <xf numFmtId="9" fontId="43" fillId="7" borderId="1" xfId="22" applyFont="1" applyFill="1" applyBorder="1" applyAlignment="1" applyProtection="1">
      <alignment horizontal="center" vertical="center" wrapText="1"/>
      <protection locked="0"/>
    </xf>
    <xf numFmtId="9" fontId="43" fillId="7" borderId="1" xfId="22" applyFont="1" applyFill="1" applyBorder="1" applyAlignment="1" applyProtection="1">
      <alignment horizontal="center" vertical="center" wrapText="1"/>
      <protection/>
    </xf>
    <xf numFmtId="9" fontId="43" fillId="7" borderId="1" xfId="22" applyFont="1" applyFill="1" applyBorder="1" applyAlignment="1">
      <alignment horizontal="center" vertical="center" wrapText="1"/>
    </xf>
    <xf numFmtId="9" fontId="43" fillId="9" borderId="1" xfId="0" applyNumberFormat="1" applyFont="1" applyFill="1" applyBorder="1" applyAlignment="1">
      <alignment horizontal="center" vertical="center" wrapText="1"/>
    </xf>
    <xf numFmtId="0" fontId="74" fillId="4" borderId="1" xfId="22" applyNumberFormat="1" applyFont="1" applyFill="1" applyBorder="1" applyAlignment="1" applyProtection="1">
      <alignment horizontal="center" vertical="center" wrapText="1"/>
      <protection hidden="1"/>
    </xf>
    <xf numFmtId="43" fontId="74" fillId="4" borderId="1" xfId="20" applyFont="1" applyFill="1" applyBorder="1" applyAlignment="1" applyProtection="1">
      <alignment horizontal="center" vertical="center" wrapText="1"/>
      <protection locked="0"/>
    </xf>
    <xf numFmtId="176" fontId="74" fillId="4" borderId="1" xfId="0" applyNumberFormat="1" applyFont="1" applyFill="1" applyBorder="1" applyAlignment="1">
      <alignment horizontal="center" vertical="center" wrapText="1"/>
    </xf>
    <xf numFmtId="0" fontId="74" fillId="4" borderId="1" xfId="0" applyNumberFormat="1" applyFont="1" applyFill="1" applyBorder="1" applyAlignment="1">
      <alignment horizontal="center" vertical="center" wrapText="1"/>
    </xf>
    <xf numFmtId="0" fontId="78" fillId="4" borderId="1" xfId="23" applyFont="1" applyFill="1" applyBorder="1" applyAlignment="1" applyProtection="1">
      <alignment horizontal="center" vertical="center" wrapText="1"/>
      <protection hidden="1"/>
    </xf>
    <xf numFmtId="0" fontId="78" fillId="25" borderId="66" xfId="28" applyFont="1" applyFill="1" applyBorder="1" applyAlignment="1">
      <alignment horizontal="center" vertical="center" wrapText="1"/>
      <protection/>
    </xf>
    <xf numFmtId="9" fontId="78" fillId="25" borderId="66" xfId="22" applyFont="1" applyFill="1" applyBorder="1" applyAlignment="1">
      <alignment horizontal="center" vertical="center" wrapText="1"/>
    </xf>
    <xf numFmtId="0" fontId="78" fillId="25" borderId="66" xfId="29" applyFont="1" applyFill="1" applyBorder="1" applyAlignment="1" applyProtection="1">
      <alignment horizontal="center" vertical="center" wrapText="1"/>
      <protection hidden="1"/>
    </xf>
    <xf numFmtId="9" fontId="78" fillId="25" borderId="66" xfId="22" applyFont="1" applyFill="1" applyBorder="1" applyAlignment="1" applyProtection="1">
      <alignment horizontal="center" vertical="center" wrapText="1"/>
      <protection hidden="1"/>
    </xf>
    <xf numFmtId="0" fontId="78" fillId="24" borderId="66" xfId="28" applyFont="1" applyFill="1" applyBorder="1" applyAlignment="1">
      <alignment horizontal="center" vertical="center" wrapText="1"/>
      <protection/>
    </xf>
    <xf numFmtId="0" fontId="78" fillId="23" borderId="66" xfId="28" applyFont="1" applyFill="1" applyBorder="1" applyAlignment="1">
      <alignment horizontal="center" vertical="center" wrapText="1"/>
      <protection/>
    </xf>
    <xf numFmtId="0" fontId="78" fillId="27" borderId="66" xfId="28" applyFont="1" applyFill="1" applyBorder="1" applyAlignment="1">
      <alignment horizontal="center" vertical="center" wrapText="1"/>
      <protection/>
    </xf>
    <xf numFmtId="0" fontId="78" fillId="0" borderId="0" xfId="28" applyFont="1" applyFill="1" applyBorder="1" applyAlignment="1">
      <alignment horizontal="center" vertical="center" wrapText="1"/>
      <protection/>
    </xf>
    <xf numFmtId="0" fontId="78" fillId="0" borderId="0" xfId="28" applyFont="1" applyBorder="1" applyAlignment="1">
      <alignment horizontal="center" vertical="center" wrapText="1"/>
      <protection/>
    </xf>
    <xf numFmtId="0" fontId="74" fillId="4" borderId="6" xfId="0" applyFont="1" applyFill="1" applyBorder="1" applyAlignment="1">
      <alignment horizontal="center" vertical="center" wrapText="1"/>
    </xf>
    <xf numFmtId="0" fontId="74" fillId="4" borderId="12" xfId="0" applyFont="1" applyFill="1" applyBorder="1" applyAlignment="1">
      <alignment horizontal="center" vertical="center" wrapText="1"/>
    </xf>
    <xf numFmtId="43" fontId="78" fillId="25" borderId="66" xfId="20" applyFont="1" applyFill="1" applyBorder="1" applyAlignment="1" applyProtection="1">
      <alignment horizontal="center" vertical="center" wrapText="1"/>
      <protection hidden="1"/>
    </xf>
    <xf numFmtId="176" fontId="78" fillId="25" borderId="66" xfId="20" applyNumberFormat="1" applyFont="1" applyFill="1" applyBorder="1" applyAlignment="1" applyProtection="1">
      <alignment horizontal="center" vertical="center" wrapText="1"/>
      <protection hidden="1"/>
    </xf>
    <xf numFmtId="43" fontId="78" fillId="25" borderId="66" xfId="20" applyFont="1" applyFill="1" applyBorder="1" applyAlignment="1">
      <alignment horizontal="center" vertical="center" wrapText="1"/>
    </xf>
    <xf numFmtId="176" fontId="78" fillId="25" borderId="66" xfId="20" applyNumberFormat="1" applyFont="1" applyFill="1" applyBorder="1" applyAlignment="1">
      <alignment horizontal="center" vertical="center" wrapText="1"/>
    </xf>
    <xf numFmtId="44" fontId="74" fillId="4" borderId="1" xfId="21" applyFont="1" applyFill="1" applyBorder="1" applyAlignment="1">
      <alignment horizontal="center" vertical="center" wrapText="1"/>
    </xf>
    <xf numFmtId="178" fontId="74" fillId="36" borderId="66" xfId="21" applyNumberFormat="1" applyFont="1" applyFill="1" applyBorder="1" applyAlignment="1">
      <alignment horizontal="center" vertical="center" wrapText="1"/>
    </xf>
    <xf numFmtId="178" fontId="74" fillId="4" borderId="1" xfId="21" applyNumberFormat="1" applyFont="1" applyFill="1" applyBorder="1" applyAlignment="1" applyProtection="1">
      <alignment horizontal="center" vertical="center" wrapText="1"/>
      <protection locked="0"/>
    </xf>
    <xf numFmtId="178" fontId="74" fillId="4" borderId="1" xfId="21" applyNumberFormat="1" applyFont="1" applyFill="1" applyBorder="1" applyAlignment="1">
      <alignment horizontal="center" vertical="center" wrapText="1"/>
    </xf>
    <xf numFmtId="44" fontId="74" fillId="4" borderId="1" xfId="21" applyFont="1" applyFill="1" applyBorder="1" applyAlignment="1" applyProtection="1">
      <alignment horizontal="center" vertical="center" wrapText="1"/>
      <protection hidden="1"/>
    </xf>
    <xf numFmtId="44" fontId="77" fillId="4" borderId="1" xfId="21" applyFont="1" applyFill="1" applyBorder="1" applyAlignment="1">
      <alignment horizontal="center" vertical="center" wrapText="1"/>
    </xf>
    <xf numFmtId="44" fontId="78" fillId="25" borderId="66" xfId="21" applyFont="1" applyFill="1" applyBorder="1" applyAlignment="1">
      <alignment horizontal="center" vertical="center" wrapText="1"/>
    </xf>
    <xf numFmtId="44" fontId="78" fillId="25" borderId="66" xfId="21" applyFont="1" applyFill="1" applyBorder="1" applyAlignment="1" applyProtection="1">
      <alignment horizontal="center" vertical="center" wrapText="1"/>
      <protection hidden="1"/>
    </xf>
    <xf numFmtId="44" fontId="74" fillId="4" borderId="6" xfId="21" applyFont="1" applyFill="1" applyBorder="1" applyAlignment="1">
      <alignment horizontal="center" vertical="center" wrapText="1"/>
    </xf>
    <xf numFmtId="44" fontId="74" fillId="4" borderId="12" xfId="21" applyFont="1" applyFill="1" applyBorder="1" applyAlignment="1">
      <alignment horizontal="center" vertical="center" wrapText="1"/>
    </xf>
    <xf numFmtId="9" fontId="43" fillId="9" borderId="1" xfId="0" applyNumberFormat="1" applyFont="1" applyFill="1" applyBorder="1" applyAlignment="1" applyProtection="1">
      <alignment horizontal="center" vertical="center" wrapText="1"/>
      <protection locked="0"/>
    </xf>
    <xf numFmtId="9" fontId="43" fillId="9" borderId="1" xfId="22" applyFont="1" applyFill="1" applyBorder="1" applyAlignment="1" applyProtection="1">
      <alignment horizontal="center" vertical="center" wrapText="1"/>
      <protection locked="0"/>
    </xf>
    <xf numFmtId="0" fontId="78" fillId="4" borderId="1"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8" fillId="5" borderId="6" xfId="23" applyFont="1" applyFill="1" applyBorder="1" applyAlignment="1" applyProtection="1">
      <alignment horizontal="center" vertical="center" wrapText="1"/>
      <protection hidden="1"/>
    </xf>
    <xf numFmtId="0" fontId="18" fillId="6" borderId="6"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9" fillId="0" borderId="0" xfId="0" applyFont="1" applyBorder="1" applyAlignment="1">
      <alignment horizontal="center" vertical="center" wrapText="1"/>
    </xf>
    <xf numFmtId="0" fontId="18" fillId="5" borderId="6" xfId="23" applyFont="1" applyFill="1" applyBorder="1" applyAlignment="1" applyProtection="1" quotePrefix="1">
      <alignment horizontal="center" vertical="center" wrapText="1"/>
      <protection hidden="1"/>
    </xf>
    <xf numFmtId="0" fontId="13" fillId="2" borderId="1" xfId="0" applyFont="1" applyFill="1" applyBorder="1" applyAlignment="1">
      <alignment horizontal="center" vertical="center" wrapText="1"/>
    </xf>
    <xf numFmtId="0" fontId="0" fillId="0" borderId="0" xfId="0" applyAlignment="1">
      <alignment horizontal="center" vertical="center"/>
    </xf>
    <xf numFmtId="0" fontId="1" fillId="6" borderId="12" xfId="0" applyFont="1" applyFill="1" applyBorder="1" applyAlignment="1">
      <alignment horizontal="center" vertical="center" wrapText="1"/>
    </xf>
    <xf numFmtId="0" fontId="1" fillId="6" borderId="6" xfId="23" applyFont="1" applyFill="1" applyBorder="1" applyAlignment="1" applyProtection="1">
      <alignment horizontal="center" vertical="center" wrapText="1"/>
      <protection hidden="1"/>
    </xf>
    <xf numFmtId="0" fontId="18" fillId="5"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 fillId="17" borderId="66" xfId="29" applyFont="1" applyFill="1" applyBorder="1" applyAlignment="1" applyProtection="1">
      <alignment horizontal="center" vertical="center" wrapText="1"/>
      <protection hidden="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 fillId="0" borderId="12"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8" fillId="5" borderId="6" xfId="23" applyFont="1" applyFill="1" applyBorder="1" applyAlignment="1" applyProtection="1">
      <alignment horizontal="center" vertical="center" wrapText="1"/>
      <protection hidden="1"/>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8" fillId="6" borderId="6" xfId="23" applyFont="1" applyFill="1" applyBorder="1" applyAlignment="1" applyProtection="1">
      <alignment horizontal="center" vertical="center" wrapText="1"/>
      <protection hidden="1"/>
    </xf>
    <xf numFmtId="0" fontId="0" fillId="0" borderId="0" xfId="0" applyAlignment="1">
      <alignment horizontal="center" vertical="center"/>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 fillId="0" borderId="6" xfId="23" applyFont="1" applyFill="1" applyBorder="1" applyAlignment="1" applyProtection="1">
      <alignment horizontal="center" vertical="center" wrapText="1"/>
      <protection hidden="1"/>
    </xf>
    <xf numFmtId="0" fontId="13" fillId="2" borderId="1" xfId="29" applyFont="1" applyFill="1" applyBorder="1" applyAlignment="1" applyProtection="1">
      <alignment horizontal="center" vertical="center" wrapText="1"/>
      <protection hidden="1"/>
    </xf>
    <xf numFmtId="9" fontId="13" fillId="2" borderId="1" xfId="29" applyNumberFormat="1" applyFont="1" applyFill="1" applyBorder="1" applyAlignment="1" applyProtection="1">
      <alignment horizontal="center" vertical="center" wrapText="1"/>
      <protection hidden="1"/>
    </xf>
    <xf numFmtId="0" fontId="39" fillId="3" borderId="1" xfId="29" applyFont="1" applyFill="1" applyBorder="1" applyAlignment="1" applyProtection="1">
      <alignment horizontal="center" vertical="center" wrapText="1"/>
      <protection hidden="1"/>
    </xf>
    <xf numFmtId="0" fontId="14" fillId="4" borderId="1" xfId="29" applyFont="1" applyFill="1" applyBorder="1" applyAlignment="1" applyProtection="1">
      <alignment horizontal="center" vertical="center" wrapText="1"/>
      <protection hidden="1"/>
    </xf>
    <xf numFmtId="0" fontId="1" fillId="6" borderId="1" xfId="29" applyFont="1" applyFill="1" applyBorder="1" applyAlignment="1" applyProtection="1">
      <alignment horizontal="center" vertical="center" wrapText="1"/>
      <protection hidden="1"/>
    </xf>
    <xf numFmtId="0" fontId="1" fillId="6" borderId="9" xfId="29" applyFont="1" applyFill="1" applyBorder="1" applyAlignment="1" applyProtection="1">
      <alignment horizontal="center" vertical="center" wrapText="1"/>
      <protection hidden="1"/>
    </xf>
    <xf numFmtId="1" fontId="1" fillId="6" borderId="10" xfId="32" applyNumberFormat="1" applyFont="1" applyFill="1" applyBorder="1" applyAlignment="1">
      <alignment horizontal="center" vertical="center" wrapText="1"/>
      <protection/>
    </xf>
    <xf numFmtId="14" fontId="1" fillId="6" borderId="22" xfId="32" applyNumberFormat="1" applyFont="1" applyFill="1" applyBorder="1" applyAlignment="1">
      <alignment horizontal="center" vertical="center" wrapText="1"/>
      <protection/>
    </xf>
    <xf numFmtId="14" fontId="1" fillId="6" borderId="10" xfId="32" applyNumberFormat="1" applyFont="1" applyFill="1" applyBorder="1" applyAlignment="1">
      <alignment horizontal="center" vertical="center" wrapText="1"/>
      <protection/>
    </xf>
    <xf numFmtId="1" fontId="1" fillId="5" borderId="3" xfId="29" applyNumberFormat="1" applyFont="1" applyFill="1" applyBorder="1" applyAlignment="1" applyProtection="1">
      <alignment horizontal="center" vertical="center" wrapText="1"/>
      <protection hidden="1"/>
    </xf>
    <xf numFmtId="1" fontId="1" fillId="6" borderId="1" xfId="29" applyNumberFormat="1" applyFont="1" applyFill="1" applyBorder="1" applyAlignment="1" applyProtection="1">
      <alignment horizontal="center" vertical="center" wrapText="1"/>
      <protection hidden="1"/>
    </xf>
    <xf numFmtId="0" fontId="1" fillId="5" borderId="3" xfId="29" applyFont="1" applyFill="1" applyBorder="1" applyAlignment="1" applyProtection="1">
      <alignment horizontal="center" vertical="center" wrapText="1"/>
      <protection hidden="1"/>
    </xf>
    <xf numFmtId="0" fontId="1" fillId="0" borderId="69" xfId="29" applyFont="1" applyFill="1" applyBorder="1" applyAlignment="1" applyProtection="1">
      <alignment horizontal="center" vertical="center" wrapText="1"/>
      <protection hidden="1"/>
    </xf>
    <xf numFmtId="0" fontId="19" fillId="6" borderId="1" xfId="29" applyFont="1" applyFill="1" applyBorder="1" applyAlignment="1" applyProtection="1">
      <alignment horizontal="center" vertical="center" wrapText="1"/>
      <protection hidden="1"/>
    </xf>
    <xf numFmtId="0" fontId="19" fillId="0" borderId="1" xfId="29" applyFont="1" applyFill="1" applyBorder="1" applyAlignment="1" applyProtection="1">
      <alignment horizontal="center" vertical="center" wrapText="1"/>
      <protection hidden="1"/>
    </xf>
    <xf numFmtId="0" fontId="1" fillId="0" borderId="1" xfId="29" applyFont="1" applyFill="1" applyBorder="1" applyAlignment="1" applyProtection="1">
      <alignment horizontal="center" vertical="center" wrapText="1"/>
      <protection hidden="1"/>
    </xf>
    <xf numFmtId="0" fontId="0" fillId="0" borderId="1" xfId="29" applyFont="1" applyFill="1" applyBorder="1" applyAlignment="1" applyProtection="1">
      <alignment horizontal="center" vertical="center" wrapText="1"/>
      <protection hidden="1"/>
    </xf>
    <xf numFmtId="1" fontId="1" fillId="17" borderId="70" xfId="32" applyNumberFormat="1" applyFont="1" applyFill="1" applyBorder="1" applyAlignment="1" applyProtection="1">
      <alignment horizontal="center" vertical="center" wrapText="1"/>
      <protection/>
    </xf>
    <xf numFmtId="14" fontId="1" fillId="0" borderId="77" xfId="32" applyNumberFormat="1" applyFont="1" applyFill="1" applyBorder="1" applyAlignment="1" applyProtection="1">
      <alignment horizontal="center" vertical="center" wrapText="1"/>
      <protection/>
    </xf>
    <xf numFmtId="9" fontId="1" fillId="0" borderId="70" xfId="22" applyFont="1" applyFill="1" applyBorder="1" applyAlignment="1" applyProtection="1">
      <alignment horizontal="center" vertical="center" wrapText="1"/>
      <protection/>
    </xf>
    <xf numFmtId="0" fontId="1" fillId="18" borderId="79" xfId="29" applyFont="1" applyFill="1" applyBorder="1" applyAlignment="1" applyProtection="1">
      <alignment horizontal="center" vertical="center" wrapText="1"/>
      <protection hidden="1"/>
    </xf>
    <xf numFmtId="169" fontId="1" fillId="17" borderId="66" xfId="33" applyNumberFormat="1" applyFont="1" applyFill="1" applyBorder="1" applyAlignment="1" applyProtection="1">
      <alignment horizontal="center" vertical="center" wrapText="1"/>
      <protection hidden="1"/>
    </xf>
    <xf numFmtId="0" fontId="1" fillId="0" borderId="0" xfId="28" applyFont="1" applyFill="1" applyAlignment="1">
      <alignment horizontal="center" vertical="center" wrapText="1"/>
      <protection/>
    </xf>
    <xf numFmtId="0" fontId="1" fillId="5" borderId="2" xfId="29" applyFont="1" applyFill="1" applyBorder="1" applyAlignment="1" applyProtection="1">
      <alignment horizontal="center" vertical="center" wrapText="1"/>
      <protection hidden="1"/>
    </xf>
    <xf numFmtId="14" fontId="1" fillId="6" borderId="4" xfId="32" applyNumberFormat="1" applyFont="1" applyFill="1" applyBorder="1" applyAlignment="1">
      <alignment horizontal="center" vertical="center" wrapText="1"/>
      <protection/>
    </xf>
    <xf numFmtId="0" fontId="1" fillId="5" borderId="4" xfId="29" applyFont="1" applyFill="1" applyBorder="1" applyAlignment="1" applyProtection="1">
      <alignment horizontal="center" vertical="center" wrapText="1"/>
      <protection hidden="1"/>
    </xf>
    <xf numFmtId="0" fontId="1" fillId="5" borderId="17" xfId="29" applyFont="1" applyFill="1" applyBorder="1" applyAlignment="1" applyProtection="1">
      <alignment horizontal="center" vertical="center" wrapText="1"/>
      <protection hidden="1"/>
    </xf>
    <xf numFmtId="1" fontId="1" fillId="6" borderId="6" xfId="29" applyNumberFormat="1" applyFont="1" applyFill="1" applyBorder="1" applyAlignment="1" applyProtection="1">
      <alignment horizontal="center" vertical="center" wrapText="1"/>
      <protection hidden="1"/>
    </xf>
    <xf numFmtId="166" fontId="1" fillId="6" borderId="10" xfId="29" applyNumberFormat="1" applyFont="1" applyFill="1" applyBorder="1" applyAlignment="1" applyProtection="1">
      <alignment horizontal="center" vertical="center" wrapText="1"/>
      <protection hidden="1"/>
    </xf>
    <xf numFmtId="0" fontId="1" fillId="6" borderId="10" xfId="29" applyFont="1" applyFill="1" applyBorder="1" applyAlignment="1" applyProtection="1">
      <alignment horizontal="center" vertical="center" wrapText="1"/>
      <protection hidden="1"/>
    </xf>
    <xf numFmtId="14" fontId="1" fillId="6" borderId="11" xfId="32" applyNumberFormat="1" applyFont="1" applyFill="1" applyBorder="1" applyAlignment="1">
      <alignment horizontal="center" vertical="center" wrapText="1"/>
      <protection/>
    </xf>
    <xf numFmtId="0" fontId="1" fillId="5" borderId="11" xfId="29" applyFont="1" applyFill="1" applyBorder="1" applyAlignment="1" applyProtection="1">
      <alignment horizontal="center" vertical="center" wrapText="1"/>
      <protection hidden="1"/>
    </xf>
    <xf numFmtId="0" fontId="1" fillId="5" borderId="39" xfId="29" applyFont="1" applyFill="1" applyBorder="1" applyAlignment="1" applyProtection="1">
      <alignment horizontal="center" vertical="center" wrapText="1"/>
      <protection hidden="1"/>
    </xf>
    <xf numFmtId="14" fontId="1" fillId="6" borderId="3" xfId="32" applyNumberFormat="1" applyFont="1" applyFill="1" applyBorder="1" applyAlignment="1">
      <alignment horizontal="center" vertical="center" wrapText="1"/>
      <protection/>
    </xf>
    <xf numFmtId="166" fontId="1" fillId="6" borderId="3" xfId="29" applyNumberFormat="1" applyFont="1" applyFill="1" applyBorder="1" applyAlignment="1" applyProtection="1">
      <alignment horizontal="center" vertical="center" wrapText="1"/>
      <protection hidden="1"/>
    </xf>
    <xf numFmtId="0" fontId="1" fillId="6" borderId="6" xfId="29" applyFont="1" applyFill="1" applyBorder="1" applyAlignment="1" applyProtection="1">
      <alignment horizontal="center" vertical="center" wrapText="1"/>
      <protection hidden="1"/>
    </xf>
    <xf numFmtId="0" fontId="1" fillId="6" borderId="7" xfId="29" applyFont="1" applyFill="1" applyBorder="1" applyAlignment="1" applyProtection="1">
      <alignment horizontal="center" vertical="center" wrapText="1"/>
      <protection hidden="1"/>
    </xf>
    <xf numFmtId="14" fontId="1" fillId="6" borderId="24" xfId="32" applyNumberFormat="1" applyFont="1" applyFill="1" applyBorder="1" applyAlignment="1">
      <alignment horizontal="center" vertical="center" wrapText="1"/>
      <protection/>
    </xf>
    <xf numFmtId="0" fontId="18" fillId="10" borderId="20" xfId="29" applyFont="1" applyFill="1" applyBorder="1" applyAlignment="1" applyProtection="1">
      <alignment horizontal="center" vertical="center" wrapText="1"/>
      <protection hidden="1"/>
    </xf>
    <xf numFmtId="9" fontId="18" fillId="10" borderId="20" xfId="29" applyNumberFormat="1" applyFont="1" applyFill="1" applyBorder="1" applyAlignment="1" applyProtection="1">
      <alignment horizontal="center" vertical="center" wrapText="1"/>
      <protection hidden="1"/>
    </xf>
    <xf numFmtId="2" fontId="18" fillId="10" borderId="20" xfId="29" applyNumberFormat="1" applyFont="1" applyFill="1" applyBorder="1" applyAlignment="1" applyProtection="1">
      <alignment horizontal="center" vertical="center" wrapText="1"/>
      <protection hidden="1"/>
    </xf>
    <xf numFmtId="164" fontId="18" fillId="10" borderId="20" xfId="29" applyNumberFormat="1" applyFont="1" applyFill="1" applyBorder="1" applyAlignment="1" applyProtection="1">
      <alignment horizontal="center" vertical="center" wrapText="1"/>
      <protection hidden="1"/>
    </xf>
    <xf numFmtId="0" fontId="66" fillId="10" borderId="63" xfId="29" applyFont="1" applyFill="1" applyBorder="1" applyAlignment="1" applyProtection="1">
      <alignment horizontal="center" vertical="center" wrapText="1"/>
      <protection hidden="1"/>
    </xf>
    <xf numFmtId="9" fontId="66" fillId="10" borderId="63" xfId="29" applyNumberFormat="1" applyFont="1" applyFill="1" applyBorder="1" applyAlignment="1" applyProtection="1">
      <alignment horizontal="center" vertical="center" wrapText="1"/>
      <protection hidden="1"/>
    </xf>
    <xf numFmtId="0" fontId="18" fillId="10" borderId="63" xfId="29" applyFont="1" applyFill="1" applyBorder="1" applyAlignment="1" applyProtection="1">
      <alignment horizontal="center" vertical="center" wrapText="1"/>
      <protection hidden="1"/>
    </xf>
    <xf numFmtId="1" fontId="74" fillId="4" borderId="1" xfId="0" applyNumberFormat="1" applyFont="1" applyFill="1" applyBorder="1" applyAlignment="1">
      <alignment horizontal="center" vertical="center" wrapText="1"/>
    </xf>
    <xf numFmtId="176" fontId="74" fillId="25" borderId="66" xfId="20" applyNumberFormat="1" applyFont="1" applyFill="1" applyBorder="1" applyAlignment="1">
      <alignment horizontal="center" vertical="center" wrapText="1"/>
    </xf>
    <xf numFmtId="176" fontId="74" fillId="4" borderId="6" xfId="20" applyNumberFormat="1" applyFont="1" applyFill="1" applyBorder="1" applyAlignment="1">
      <alignment horizontal="center" vertical="center" wrapText="1"/>
    </xf>
    <xf numFmtId="0" fontId="74" fillId="7" borderId="1"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3" xfId="0" applyFont="1" applyFill="1" applyBorder="1" applyAlignment="1">
      <alignment horizontal="center" vertical="center" wrapText="1"/>
    </xf>
    <xf numFmtId="9" fontId="1" fillId="6" borderId="30" xfId="0" applyNumberFormat="1" applyFont="1" applyFill="1" applyBorder="1" applyAlignment="1">
      <alignment horizontal="center" vertical="center" wrapText="1"/>
    </xf>
    <xf numFmtId="9" fontId="19" fillId="6" borderId="11" xfId="22" applyFont="1" applyFill="1" applyBorder="1" applyAlignment="1">
      <alignment horizontal="center" vertical="center" wrapText="1"/>
    </xf>
    <xf numFmtId="9" fontId="1" fillId="6" borderId="9" xfId="0" applyNumberFormat="1" applyFont="1" applyFill="1" applyBorder="1" applyAlignment="1">
      <alignment horizontal="center" vertical="center" wrapText="1"/>
    </xf>
    <xf numFmtId="9" fontId="19" fillId="6" borderId="40" xfId="22" applyFont="1" applyFill="1" applyBorder="1" applyAlignment="1">
      <alignment horizontal="center" vertical="center" wrapText="1"/>
    </xf>
    <xf numFmtId="9" fontId="1" fillId="5" borderId="9" xfId="23" applyNumberFormat="1" applyFont="1" applyFill="1" applyBorder="1" applyAlignment="1" applyProtection="1">
      <alignment horizontal="center" vertical="center" wrapText="1"/>
      <protection hidden="1"/>
    </xf>
    <xf numFmtId="9" fontId="1" fillId="5" borderId="20" xfId="23" applyNumberFormat="1" applyFont="1" applyFill="1" applyBorder="1" applyAlignment="1" applyProtection="1">
      <alignment horizontal="center" vertical="center" wrapText="1"/>
      <protection hidden="1"/>
    </xf>
    <xf numFmtId="9" fontId="1" fillId="5" borderId="9" xfId="22" applyFont="1" applyFill="1" applyBorder="1" applyAlignment="1" applyProtection="1">
      <alignment horizontal="center" vertical="center" wrapText="1"/>
      <protection hidden="1"/>
    </xf>
    <xf numFmtId="9" fontId="19" fillId="5" borderId="20" xfId="22" applyFont="1" applyFill="1" applyBorder="1" applyAlignment="1">
      <alignment horizontal="center" vertical="center" wrapText="1"/>
    </xf>
    <xf numFmtId="9" fontId="19" fillId="5" borderId="9" xfId="22" applyFont="1" applyFill="1" applyBorder="1" applyAlignment="1">
      <alignment horizontal="center" vertical="center" wrapText="1"/>
    </xf>
    <xf numFmtId="10" fontId="1" fillId="5" borderId="14" xfId="23" applyNumberFormat="1" applyFont="1" applyFill="1" applyBorder="1" applyAlignment="1" applyProtection="1">
      <alignment horizontal="center" vertical="center" wrapText="1"/>
      <protection hidden="1"/>
    </xf>
    <xf numFmtId="9" fontId="1" fillId="5" borderId="14" xfId="23" applyNumberFormat="1" applyFont="1" applyFill="1" applyBorder="1" applyAlignment="1" applyProtection="1">
      <alignment horizontal="center" vertical="center" wrapText="1"/>
      <protection hidden="1"/>
    </xf>
    <xf numFmtId="1" fontId="24" fillId="5" borderId="11" xfId="22" applyNumberFormat="1" applyFont="1" applyFill="1" applyBorder="1" applyAlignment="1">
      <alignment horizontal="center" vertical="center" wrapText="1"/>
    </xf>
    <xf numFmtId="0" fontId="79" fillId="7" borderId="1" xfId="0" applyFont="1" applyFill="1" applyBorder="1" applyAlignment="1">
      <alignment horizontal="center" vertical="center" wrapText="1"/>
    </xf>
    <xf numFmtId="9" fontId="79" fillId="7" borderId="1" xfId="22" applyFont="1" applyFill="1" applyBorder="1" applyAlignment="1">
      <alignment horizontal="center" vertical="center" wrapText="1"/>
    </xf>
    <xf numFmtId="9" fontId="79" fillId="7" borderId="1" xfId="0" applyNumberFormat="1" applyFont="1" applyFill="1" applyBorder="1" applyAlignment="1">
      <alignment horizontal="center" vertical="center" wrapText="1"/>
    </xf>
    <xf numFmtId="0" fontId="79" fillId="9" borderId="1" xfId="0" applyFont="1" applyFill="1" applyBorder="1" applyAlignment="1">
      <alignment horizontal="center" vertical="center" wrapText="1"/>
    </xf>
    <xf numFmtId="9" fontId="15" fillId="9" borderId="1" xfId="22" applyFont="1" applyFill="1" applyBorder="1" applyAlignment="1">
      <alignment horizontal="center" vertical="center" wrapText="1"/>
    </xf>
    <xf numFmtId="9" fontId="79" fillId="9" borderId="1" xfId="22" applyFont="1" applyFill="1" applyBorder="1" applyAlignment="1">
      <alignment horizontal="center" vertical="center" wrapText="1"/>
    </xf>
    <xf numFmtId="0" fontId="22" fillId="5" borderId="14" xfId="23" applyFont="1" applyFill="1" applyBorder="1" applyAlignment="1" applyProtection="1">
      <alignment horizontal="center" vertical="center" wrapText="1"/>
      <protection hidden="1"/>
    </xf>
    <xf numFmtId="176" fontId="15" fillId="7" borderId="1" xfId="20" applyNumberFormat="1" applyFont="1" applyFill="1" applyBorder="1" applyAlignment="1">
      <alignment horizontal="center" vertical="center" wrapText="1"/>
    </xf>
    <xf numFmtId="176" fontId="15" fillId="9" borderId="1" xfId="20" applyNumberFormat="1" applyFont="1" applyFill="1" applyBorder="1" applyAlignment="1">
      <alignment horizontal="center" vertical="center" wrapText="1"/>
    </xf>
    <xf numFmtId="44" fontId="15" fillId="7" borderId="1" xfId="21" applyFont="1" applyFill="1" applyBorder="1" applyAlignment="1">
      <alignment horizontal="center" vertical="center" wrapText="1"/>
    </xf>
    <xf numFmtId="44" fontId="15" fillId="9" borderId="1" xfId="21" applyFont="1" applyFill="1" applyBorder="1" applyAlignment="1">
      <alignment horizontal="center" vertical="center" wrapText="1"/>
    </xf>
    <xf numFmtId="9" fontId="14" fillId="7" borderId="1" xfId="0" applyNumberFormat="1" applyFont="1" applyFill="1" applyBorder="1" applyAlignment="1">
      <alignment horizontal="center" vertical="center" wrapText="1"/>
    </xf>
    <xf numFmtId="9" fontId="20" fillId="7" borderId="1" xfId="0" applyNumberFormat="1"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9" fontId="20" fillId="9" borderId="1" xfId="0" applyNumberFormat="1" applyFont="1" applyFill="1" applyBorder="1" applyAlignment="1">
      <alignment horizontal="center" vertical="center" wrapText="1"/>
    </xf>
    <xf numFmtId="176" fontId="20" fillId="9" borderId="1" xfId="20" applyNumberFormat="1" applyFont="1" applyFill="1" applyBorder="1" applyAlignment="1">
      <alignment horizontal="center" vertical="center" wrapText="1"/>
    </xf>
    <xf numFmtId="167" fontId="20" fillId="7" borderId="1" xfId="0" applyNumberFormat="1" applyFont="1" applyFill="1" applyBorder="1" applyAlignment="1">
      <alignment horizontal="center" vertical="center" wrapText="1"/>
    </xf>
    <xf numFmtId="9" fontId="80" fillId="24" borderId="66" xfId="22" applyFont="1" applyFill="1" applyBorder="1" applyAlignment="1">
      <alignment horizontal="center" vertical="center" wrapText="1"/>
    </xf>
    <xf numFmtId="0" fontId="80" fillId="24" borderId="66" xfId="28" applyFont="1" applyFill="1" applyBorder="1" applyAlignment="1">
      <alignment horizontal="center" vertical="center" wrapText="1"/>
      <protection/>
    </xf>
    <xf numFmtId="9" fontId="80" fillId="27" borderId="66" xfId="22" applyFont="1" applyFill="1" applyBorder="1" applyAlignment="1">
      <alignment horizontal="center" vertical="center" wrapText="1"/>
    </xf>
    <xf numFmtId="9" fontId="51" fillId="24" borderId="66" xfId="22" applyFont="1" applyFill="1" applyBorder="1" applyAlignment="1">
      <alignment horizontal="center" vertical="center" wrapText="1"/>
    </xf>
    <xf numFmtId="9" fontId="80" fillId="24" borderId="66" xfId="28" applyNumberFormat="1" applyFont="1" applyFill="1" applyBorder="1" applyAlignment="1">
      <alignment horizontal="center" vertical="center" wrapText="1"/>
      <protection/>
    </xf>
    <xf numFmtId="9" fontId="80" fillId="27" borderId="66" xfId="28" applyNumberFormat="1" applyFont="1" applyFill="1" applyBorder="1" applyAlignment="1">
      <alignment horizontal="center" vertical="center" wrapText="1"/>
      <protection/>
    </xf>
    <xf numFmtId="9" fontId="51" fillId="24" borderId="66" xfId="28" applyNumberFormat="1" applyFont="1" applyFill="1" applyBorder="1" applyAlignment="1">
      <alignment horizontal="center" vertical="center" wrapText="1"/>
      <protection/>
    </xf>
    <xf numFmtId="9" fontId="15" fillId="7" borderId="1" xfId="22" applyFont="1" applyFill="1" applyBorder="1" applyAlignment="1">
      <alignment horizontal="center" vertical="center" wrapText="1"/>
    </xf>
    <xf numFmtId="9" fontId="15" fillId="9" borderId="1" xfId="0" applyNumberFormat="1" applyFont="1" applyFill="1" applyBorder="1" applyAlignment="1">
      <alignment horizontal="center" vertical="center" wrapText="1"/>
    </xf>
    <xf numFmtId="9" fontId="15" fillId="7" borderId="1" xfId="0" applyNumberFormat="1" applyFont="1" applyFill="1" applyBorder="1" applyAlignment="1">
      <alignment horizontal="center" vertical="center" wrapText="1"/>
    </xf>
    <xf numFmtId="9" fontId="17" fillId="7" borderId="1" xfId="22" applyFont="1" applyFill="1" applyBorder="1" applyAlignment="1">
      <alignment horizontal="center" vertical="center" wrapText="1"/>
    </xf>
    <xf numFmtId="9" fontId="17" fillId="7" borderId="1"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9" fontId="74" fillId="4" borderId="6" xfId="22" applyFont="1" applyFill="1" applyBorder="1" applyAlignment="1">
      <alignment horizontal="center" vertical="center" wrapText="1"/>
    </xf>
    <xf numFmtId="0" fontId="81" fillId="25" borderId="66" xfId="28" applyFont="1" applyFill="1" applyBorder="1" applyAlignment="1">
      <alignment horizontal="center" vertical="center" wrapText="1"/>
      <protection/>
    </xf>
    <xf numFmtId="9" fontId="81" fillId="25" borderId="66" xfId="22" applyFont="1" applyFill="1" applyBorder="1" applyAlignment="1">
      <alignment horizontal="center" vertical="center" wrapText="1"/>
    </xf>
    <xf numFmtId="44" fontId="81" fillId="25" borderId="66" xfId="21" applyFont="1" applyFill="1" applyBorder="1" applyAlignment="1">
      <alignment horizontal="center" vertical="center" wrapText="1"/>
    </xf>
    <xf numFmtId="9" fontId="83" fillId="10" borderId="1" xfId="23" applyNumberFormat="1" applyFont="1" applyFill="1" applyBorder="1" applyAlignment="1" applyProtection="1">
      <alignment horizontal="center" vertical="center" wrapText="1"/>
      <protection hidden="1"/>
    </xf>
    <xf numFmtId="0" fontId="83" fillId="10" borderId="1" xfId="23" applyFont="1" applyFill="1" applyBorder="1" applyAlignment="1" applyProtection="1">
      <alignment horizontal="center" vertical="center" wrapText="1"/>
      <protection hidden="1"/>
    </xf>
    <xf numFmtId="1" fontId="74" fillId="4" borderId="6" xfId="0" applyNumberFormat="1" applyFont="1" applyFill="1" applyBorder="1" applyAlignment="1">
      <alignment horizontal="center" vertical="center" wrapText="1"/>
    </xf>
    <xf numFmtId="0" fontId="17" fillId="7" borderId="123" xfId="0" applyFont="1" applyFill="1" applyBorder="1" applyAlignment="1">
      <alignment horizontal="center" vertical="center" wrapText="1"/>
    </xf>
    <xf numFmtId="0" fontId="17" fillId="7" borderId="124" xfId="0" applyFont="1" applyFill="1" applyBorder="1" applyAlignment="1">
      <alignment horizontal="center" vertical="center" wrapText="1"/>
    </xf>
    <xf numFmtId="0" fontId="17" fillId="7" borderId="125" xfId="0" applyFont="1" applyFill="1" applyBorder="1" applyAlignment="1">
      <alignment horizontal="center" vertical="center" wrapText="1"/>
    </xf>
    <xf numFmtId="9" fontId="17" fillId="7" borderId="126" xfId="22" applyFont="1" applyFill="1" applyBorder="1" applyAlignment="1">
      <alignment horizontal="center" vertical="center" wrapText="1"/>
    </xf>
    <xf numFmtId="0" fontId="17" fillId="7" borderId="126" xfId="0" applyFont="1" applyFill="1" applyBorder="1" applyAlignment="1">
      <alignment horizontal="center" vertical="center" wrapText="1"/>
    </xf>
    <xf numFmtId="9" fontId="17" fillId="7" borderId="126" xfId="0" applyNumberFormat="1" applyFont="1" applyFill="1" applyBorder="1" applyAlignment="1">
      <alignment horizontal="center" vertical="center" wrapText="1"/>
    </xf>
    <xf numFmtId="0" fontId="13" fillId="2" borderId="123"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13" fillId="2" borderId="128" xfId="0" applyFont="1" applyFill="1" applyBorder="1" applyAlignment="1">
      <alignment horizontal="center" vertical="center" wrapText="1"/>
    </xf>
    <xf numFmtId="9" fontId="13" fillId="2" borderId="124" xfId="0" applyNumberFormat="1" applyFont="1" applyFill="1" applyBorder="1" applyAlignment="1">
      <alignment horizontal="center" vertical="center" wrapText="1"/>
    </xf>
    <xf numFmtId="0" fontId="18" fillId="10" borderId="123" xfId="29" applyFont="1" applyFill="1" applyBorder="1" applyAlignment="1" applyProtection="1">
      <alignment horizontal="center" vertical="center" wrapText="1"/>
      <protection hidden="1"/>
    </xf>
    <xf numFmtId="0" fontId="13" fillId="2" borderId="125" xfId="0" applyFont="1" applyFill="1" applyBorder="1" applyAlignment="1">
      <alignment horizontal="center" vertical="center" wrapText="1"/>
    </xf>
    <xf numFmtId="9" fontId="13" fillId="2" borderId="126" xfId="0" applyNumberFormat="1"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83" fillId="10" borderId="127" xfId="29" applyFont="1" applyFill="1" applyBorder="1" applyAlignment="1" applyProtection="1">
      <alignment horizontal="center" vertical="center" wrapText="1"/>
      <protection hidden="1"/>
    </xf>
    <xf numFmtId="9" fontId="83" fillId="10" borderId="124" xfId="29" applyNumberFormat="1" applyFont="1" applyFill="1" applyBorder="1" applyAlignment="1" applyProtection="1">
      <alignment horizontal="center" vertical="center" wrapText="1"/>
      <protection hidden="1"/>
    </xf>
    <xf numFmtId="0" fontId="83" fillId="10" borderId="124" xfId="29" applyFont="1" applyFill="1" applyBorder="1" applyAlignment="1" applyProtection="1">
      <alignment horizontal="center" vertical="center" wrapText="1"/>
      <protection hidden="1"/>
    </xf>
    <xf numFmtId="0" fontId="83" fillId="10" borderId="128" xfId="29" applyFont="1" applyFill="1" applyBorder="1" applyAlignment="1" applyProtection="1">
      <alignment horizontal="center" vertical="center" wrapText="1"/>
      <protection hidden="1"/>
    </xf>
    <xf numFmtId="9" fontId="20" fillId="27" borderId="66" xfId="28" applyNumberFormat="1" applyFont="1" applyFill="1" applyBorder="1" applyAlignment="1">
      <alignment horizontal="center" vertical="center" wrapText="1"/>
      <protection/>
    </xf>
    <xf numFmtId="9" fontId="52" fillId="23" borderId="66" xfId="28" applyNumberFormat="1" applyFont="1" applyFill="1" applyBorder="1" applyAlignment="1">
      <alignment horizontal="center" vertical="center" wrapText="1"/>
      <protection/>
    </xf>
    <xf numFmtId="0" fontId="83" fillId="22" borderId="66" xfId="29" applyFont="1" applyFill="1" applyBorder="1" applyAlignment="1" applyProtection="1">
      <alignment horizontal="center" vertical="center" wrapText="1"/>
      <protection hidden="1"/>
    </xf>
    <xf numFmtId="9" fontId="83" fillId="22" borderId="66" xfId="29" applyNumberFormat="1" applyFont="1" applyFill="1" applyBorder="1" applyAlignment="1" applyProtection="1">
      <alignment horizontal="center" vertical="center" wrapText="1"/>
      <protection hidden="1"/>
    </xf>
    <xf numFmtId="9" fontId="17" fillId="7" borderId="5" xfId="22" applyFont="1" applyFill="1" applyBorder="1" applyAlignment="1">
      <alignment horizontal="center" vertical="center" wrapText="1"/>
    </xf>
    <xf numFmtId="9" fontId="82" fillId="7" borderId="1" xfId="22" applyFont="1" applyFill="1" applyBorder="1" applyAlignment="1">
      <alignment horizontal="center" vertical="center" wrapText="1"/>
    </xf>
    <xf numFmtId="9" fontId="78" fillId="23" borderId="66" xfId="28" applyNumberFormat="1" applyFont="1" applyFill="1" applyBorder="1" applyAlignment="1">
      <alignment horizontal="center" vertical="center" wrapText="1"/>
      <protection/>
    </xf>
    <xf numFmtId="0" fontId="51" fillId="38" borderId="66" xfId="28" applyFont="1" applyFill="1" applyBorder="1" applyAlignment="1">
      <alignment horizontal="center" vertical="center" wrapText="1"/>
      <protection/>
    </xf>
    <xf numFmtId="0" fontId="21" fillId="4" borderId="66" xfId="28" applyFont="1" applyFill="1" applyBorder="1" applyAlignment="1">
      <alignment horizontal="center" vertical="center" wrapText="1"/>
      <protection/>
    </xf>
    <xf numFmtId="176" fontId="74" fillId="7" borderId="1" xfId="20" applyNumberFormat="1" applyFont="1" applyFill="1" applyBorder="1" applyAlignment="1">
      <alignment horizontal="center" vertical="center" wrapText="1"/>
    </xf>
    <xf numFmtId="0" fontId="1" fillId="6" borderId="69" xfId="29" applyFont="1" applyFill="1" applyBorder="1" applyAlignment="1" applyProtection="1">
      <alignment horizontal="center" vertical="center" wrapText="1"/>
      <protection hidden="1"/>
    </xf>
    <xf numFmtId="0" fontId="1" fillId="21" borderId="69" xfId="29" applyFont="1" applyFill="1" applyBorder="1" applyAlignment="1" applyProtection="1">
      <alignment horizontal="center" vertical="center" wrapText="1"/>
      <protection hidden="1"/>
    </xf>
    <xf numFmtId="0" fontId="51" fillId="7" borderId="66" xfId="28" applyFont="1" applyFill="1" applyBorder="1" applyAlignment="1">
      <alignment horizontal="center" vertical="center" wrapText="1"/>
      <protection/>
    </xf>
    <xf numFmtId="0" fontId="23" fillId="4" borderId="66" xfId="28" applyFont="1" applyFill="1" applyBorder="1" applyAlignment="1">
      <alignment horizontal="center" vertical="center" wrapText="1"/>
      <protection/>
    </xf>
    <xf numFmtId="0" fontId="13" fillId="25" borderId="66" xfId="28" applyFont="1" applyFill="1" applyBorder="1" applyAlignment="1">
      <alignment horizontal="center" vertical="center" wrapText="1"/>
      <protection/>
    </xf>
    <xf numFmtId="0" fontId="12" fillId="25" borderId="66" xfId="28" applyFont="1" applyFill="1" applyBorder="1" applyAlignment="1">
      <alignment horizontal="center" vertical="center" wrapText="1"/>
      <protection/>
    </xf>
    <xf numFmtId="0" fontId="84" fillId="25" borderId="66" xfId="29" applyFont="1" applyFill="1" applyBorder="1" applyAlignment="1" applyProtection="1">
      <alignment horizontal="center" vertical="center" wrapText="1"/>
      <protection hidden="1"/>
    </xf>
    <xf numFmtId="0" fontId="26" fillId="4" borderId="66" xfId="28" applyFont="1" applyFill="1" applyBorder="1" applyAlignment="1">
      <alignment horizontal="center" vertical="center" wrapText="1"/>
      <protection/>
    </xf>
    <xf numFmtId="0" fontId="28" fillId="4" borderId="66" xfId="28" applyFont="1" applyFill="1" applyBorder="1" applyAlignment="1">
      <alignment horizontal="center" vertical="center" wrapText="1"/>
      <protection/>
    </xf>
    <xf numFmtId="0" fontId="85" fillId="4" borderId="66" xfId="28" applyFont="1" applyFill="1" applyBorder="1" applyAlignment="1">
      <alignment horizontal="center" vertical="center" wrapText="1"/>
      <protection/>
    </xf>
    <xf numFmtId="0" fontId="13" fillId="25" borderId="66" xfId="29" applyFont="1" applyFill="1" applyBorder="1" applyAlignment="1" applyProtection="1">
      <alignment horizontal="center" vertical="center" wrapText="1"/>
      <protection hidden="1"/>
    </xf>
    <xf numFmtId="9" fontId="13" fillId="25" borderId="66" xfId="22" applyFont="1" applyFill="1" applyBorder="1" applyAlignment="1" applyProtection="1">
      <alignment horizontal="center" vertical="center" wrapText="1"/>
      <protection hidden="1"/>
    </xf>
    <xf numFmtId="43" fontId="13" fillId="25" borderId="66" xfId="20" applyFont="1" applyFill="1" applyBorder="1" applyAlignment="1" applyProtection="1">
      <alignment horizontal="center" vertical="center" wrapText="1"/>
      <protection hidden="1"/>
    </xf>
    <xf numFmtId="43" fontId="13" fillId="25" borderId="66" xfId="20" applyFont="1" applyFill="1" applyBorder="1" applyAlignment="1">
      <alignment horizontal="center" vertical="center" wrapText="1"/>
    </xf>
    <xf numFmtId="0" fontId="13" fillId="38" borderId="66" xfId="28" applyFont="1" applyFill="1" applyBorder="1" applyAlignment="1">
      <alignment horizontal="center" vertical="center" wrapText="1"/>
      <protection/>
    </xf>
    <xf numFmtId="9" fontId="13" fillId="38" borderId="66" xfId="22" applyFont="1" applyFill="1" applyBorder="1" applyAlignment="1">
      <alignment horizontal="center" vertical="center" wrapText="1"/>
    </xf>
    <xf numFmtId="9" fontId="26" fillId="4" borderId="66" xfId="22" applyFont="1" applyFill="1" applyBorder="1" applyAlignment="1">
      <alignment horizontal="center" vertical="center" wrapText="1"/>
    </xf>
    <xf numFmtId="0" fontId="86" fillId="24" borderId="66" xfId="28" applyFont="1" applyFill="1" applyBorder="1" applyAlignment="1">
      <alignment horizontal="center" vertical="center" wrapText="1"/>
      <protection/>
    </xf>
    <xf numFmtId="9" fontId="86" fillId="24" borderId="66" xfId="22" applyFont="1" applyFill="1" applyBorder="1" applyAlignment="1">
      <alignment horizontal="center" vertical="center" wrapText="1"/>
    </xf>
    <xf numFmtId="9" fontId="86" fillId="24" borderId="66" xfId="28" applyNumberFormat="1" applyFont="1" applyFill="1" applyBorder="1" applyAlignment="1">
      <alignment horizontal="center" vertical="center" wrapText="1"/>
      <protection/>
    </xf>
    <xf numFmtId="0" fontId="86" fillId="7" borderId="66" xfId="28" applyFont="1" applyFill="1" applyBorder="1" applyAlignment="1">
      <alignment horizontal="center" vertical="center" wrapText="1"/>
      <protection/>
    </xf>
    <xf numFmtId="9" fontId="86" fillId="7" borderId="66" xfId="22" applyFont="1" applyFill="1" applyBorder="1" applyAlignment="1">
      <alignment horizontal="center" vertical="center" wrapText="1"/>
    </xf>
    <xf numFmtId="9" fontId="86" fillId="7" borderId="66" xfId="28" applyNumberFormat="1" applyFont="1" applyFill="1" applyBorder="1" applyAlignment="1">
      <alignment horizontal="center" vertical="center" wrapText="1"/>
      <protection/>
    </xf>
    <xf numFmtId="9" fontId="67" fillId="23" borderId="66" xfId="28" applyNumberFormat="1" applyFont="1" applyFill="1" applyBorder="1" applyAlignment="1">
      <alignment horizontal="center" vertical="center" wrapText="1"/>
      <protection/>
    </xf>
    <xf numFmtId="0" fontId="29" fillId="22" borderId="66" xfId="29" applyFont="1" applyFill="1" applyBorder="1" applyAlignment="1" applyProtection="1">
      <alignment horizontal="center" vertical="center" wrapText="1"/>
      <protection hidden="1"/>
    </xf>
    <xf numFmtId="9" fontId="29" fillId="22" borderId="66" xfId="29" applyNumberFormat="1" applyFont="1" applyFill="1" applyBorder="1" applyAlignment="1" applyProtection="1">
      <alignment horizontal="center" vertical="center" wrapText="1"/>
      <protection hidden="1"/>
    </xf>
    <xf numFmtId="0" fontId="19" fillId="6" borderId="30" xfId="23" applyFont="1" applyFill="1" applyBorder="1" applyAlignment="1" applyProtection="1">
      <alignment horizontal="center" vertical="center" wrapText="1"/>
      <protection hidden="1"/>
    </xf>
    <xf numFmtId="9" fontId="82" fillId="7" borderId="1" xfId="0" applyNumberFormat="1" applyFont="1" applyFill="1" applyBorder="1" applyAlignment="1">
      <alignment horizontal="center" vertical="center" wrapText="1"/>
    </xf>
    <xf numFmtId="9" fontId="17" fillId="7" borderId="5" xfId="0"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13" fillId="2"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9" fontId="20" fillId="10" borderId="1" xfId="23" applyNumberFormat="1" applyFont="1" applyFill="1" applyBorder="1" applyAlignment="1" applyProtection="1">
      <alignment horizontal="center" vertical="center" wrapText="1"/>
      <protection hidden="1"/>
    </xf>
    <xf numFmtId="9" fontId="1" fillId="8" borderId="1" xfId="22" applyFont="1" applyFill="1" applyBorder="1" applyAlignment="1">
      <alignment horizontal="center" vertical="center" wrapText="1"/>
    </xf>
    <xf numFmtId="176" fontId="1" fillId="8" borderId="1" xfId="20" applyNumberFormat="1" applyFont="1" applyFill="1" applyBorder="1" applyAlignment="1">
      <alignment horizontal="center" vertical="center" wrapText="1"/>
    </xf>
    <xf numFmtId="0" fontId="1" fillId="8" borderId="1" xfId="22" applyNumberFormat="1" applyFont="1" applyFill="1" applyBorder="1" applyAlignment="1">
      <alignment horizontal="center" vertical="center" wrapText="1"/>
    </xf>
    <xf numFmtId="44" fontId="1" fillId="8" borderId="1" xfId="21" applyFont="1" applyFill="1" applyBorder="1" applyAlignment="1">
      <alignment horizontal="center" vertical="center" wrapText="1"/>
    </xf>
    <xf numFmtId="0" fontId="17" fillId="8" borderId="1" xfId="23" applyFont="1" applyFill="1" applyBorder="1" applyAlignment="1" applyProtection="1">
      <alignment horizontal="center" vertical="center" wrapText="1"/>
      <protection hidden="1"/>
    </xf>
    <xf numFmtId="0" fontId="33" fillId="24" borderId="66" xfId="28" applyFont="1" applyFill="1" applyBorder="1" applyAlignment="1">
      <alignment horizontal="center" vertical="center" wrapText="1"/>
      <protection/>
    </xf>
    <xf numFmtId="0" fontId="14" fillId="4" borderId="8" xfId="23" applyFont="1" applyFill="1" applyBorder="1" applyAlignment="1" applyProtection="1">
      <alignment horizontal="center" vertical="center" wrapText="1"/>
      <protection hidden="1"/>
    </xf>
    <xf numFmtId="0" fontId="74" fillId="4" borderId="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20" fillId="8" borderId="63" xfId="0" applyFont="1" applyFill="1" applyBorder="1" applyAlignment="1">
      <alignment horizontal="center" vertical="center" wrapText="1"/>
    </xf>
    <xf numFmtId="0" fontId="21" fillId="8" borderId="63" xfId="0" applyFont="1" applyFill="1" applyBorder="1" applyAlignment="1">
      <alignment horizontal="center" vertical="center" wrapText="1"/>
    </xf>
    <xf numFmtId="0" fontId="20" fillId="8" borderId="130" xfId="0" applyFont="1" applyFill="1" applyBorder="1" applyAlignment="1">
      <alignment horizontal="center" vertical="center" wrapText="1"/>
    </xf>
    <xf numFmtId="0" fontId="20" fillId="8" borderId="131" xfId="0" applyFont="1" applyFill="1" applyBorder="1" applyAlignment="1">
      <alignment horizontal="center" vertical="center" wrapText="1"/>
    </xf>
    <xf numFmtId="0" fontId="15" fillId="9" borderId="127" xfId="0" applyFont="1" applyFill="1" applyBorder="1" applyAlignment="1">
      <alignment horizontal="center" vertical="center" wrapText="1"/>
    </xf>
    <xf numFmtId="0" fontId="15" fillId="9" borderId="124" xfId="0" applyFont="1" applyFill="1" applyBorder="1" applyAlignment="1">
      <alignment horizontal="center" vertical="center" wrapText="1"/>
    </xf>
    <xf numFmtId="0" fontId="15" fillId="9" borderId="128" xfId="0" applyFont="1" applyFill="1" applyBorder="1" applyAlignment="1">
      <alignment horizontal="center" vertical="center" wrapText="1"/>
    </xf>
    <xf numFmtId="0" fontId="21" fillId="8" borderId="131" xfId="0" applyFont="1" applyFill="1" applyBorder="1" applyAlignment="1">
      <alignment horizontal="center" vertical="center" wrapText="1"/>
    </xf>
    <xf numFmtId="0" fontId="21" fillId="8" borderId="130" xfId="0" applyFont="1" applyFill="1" applyBorder="1" applyAlignment="1">
      <alignment horizontal="center" vertical="center" wrapText="1"/>
    </xf>
    <xf numFmtId="0" fontId="0" fillId="8" borderId="131" xfId="0" applyFill="1" applyBorder="1"/>
    <xf numFmtId="0" fontId="14" fillId="2" borderId="12" xfId="0" applyFont="1" applyFill="1" applyBorder="1" applyAlignment="1">
      <alignment horizontal="center" vertical="center" wrapText="1"/>
    </xf>
    <xf numFmtId="0" fontId="52" fillId="25" borderId="116" xfId="29" applyFont="1" applyFill="1" applyBorder="1" applyAlignment="1" applyProtection="1">
      <alignment horizontal="center" vertical="center" wrapText="1"/>
      <protection hidden="1"/>
    </xf>
    <xf numFmtId="0" fontId="51" fillId="25" borderId="116" xfId="28" applyFont="1" applyFill="1" applyBorder="1" applyAlignment="1">
      <alignment horizontal="center" vertical="center" wrapText="1"/>
      <protection/>
    </xf>
    <xf numFmtId="0" fontId="51" fillId="24" borderId="94" xfId="28" applyFont="1" applyFill="1" applyBorder="1" applyAlignment="1">
      <alignment horizontal="center" vertical="center" wrapText="1"/>
      <protection/>
    </xf>
    <xf numFmtId="0" fontId="52" fillId="39" borderId="63" xfId="29" applyFont="1" applyFill="1" applyBorder="1" applyAlignment="1" applyProtection="1">
      <alignment horizontal="center" vertical="center" wrapText="1"/>
      <protection hidden="1"/>
    </xf>
    <xf numFmtId="0" fontId="51" fillId="8" borderId="63" xfId="28" applyFont="1" applyFill="1" applyBorder="1" applyAlignment="1">
      <alignment horizontal="center" vertical="center" wrapText="1"/>
      <protection/>
    </xf>
    <xf numFmtId="0" fontId="51" fillId="40" borderId="66" xfId="28" applyFont="1" applyFill="1" applyBorder="1" applyAlignment="1">
      <alignment horizontal="center" vertical="center" wrapText="1"/>
      <protection/>
    </xf>
    <xf numFmtId="0" fontId="21" fillId="8" borderId="66" xfId="28"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18" fillId="5" borderId="0" xfId="23" applyFont="1" applyFill="1" applyBorder="1" applyAlignment="1" applyProtection="1">
      <alignment horizontal="center" vertical="center" wrapText="1"/>
      <protection hidden="1"/>
    </xf>
    <xf numFmtId="0" fontId="53" fillId="23" borderId="66" xfId="28" applyFont="1" applyFill="1" applyBorder="1" applyAlignment="1">
      <alignment horizontal="center" vertical="center" wrapText="1"/>
      <protection/>
    </xf>
    <xf numFmtId="0" fontId="15" fillId="8" borderId="1" xfId="23" applyFont="1" applyFill="1" applyBorder="1" applyAlignment="1" applyProtection="1">
      <alignment horizontal="center" vertical="center" wrapText="1"/>
      <protection hidden="1"/>
    </xf>
    <xf numFmtId="9" fontId="15" fillId="8" borderId="1" xfId="22" applyFont="1" applyFill="1" applyBorder="1" applyAlignment="1" applyProtection="1">
      <alignment horizontal="center" vertical="center" wrapText="1"/>
      <protection hidden="1"/>
    </xf>
    <xf numFmtId="0" fontId="63" fillId="8" borderId="1" xfId="23" applyFont="1" applyFill="1" applyBorder="1" applyAlignment="1" applyProtection="1">
      <alignment horizontal="center" vertical="center" wrapText="1"/>
      <protection hidden="1"/>
    </xf>
    <xf numFmtId="0" fontId="44" fillId="8" borderId="1" xfId="23" applyFont="1" applyFill="1" applyBorder="1" applyAlignment="1" applyProtection="1">
      <alignment horizontal="center" vertical="center" wrapText="1"/>
      <protection hidden="1"/>
    </xf>
    <xf numFmtId="0" fontId="44" fillId="8" borderId="1" xfId="0" applyFont="1" applyFill="1" applyBorder="1" applyAlignment="1">
      <alignment horizontal="center" vertical="center" wrapText="1"/>
    </xf>
    <xf numFmtId="0" fontId="87" fillId="8"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9" fontId="20" fillId="8" borderId="1" xfId="22" applyFont="1" applyFill="1" applyBorder="1" applyAlignment="1">
      <alignment horizontal="center" vertical="center" wrapText="1"/>
    </xf>
    <xf numFmtId="0" fontId="13" fillId="2" borderId="1" xfId="0" applyFont="1" applyFill="1" applyBorder="1" applyAlignment="1">
      <alignment horizontal="center" vertical="center" wrapText="1"/>
    </xf>
    <xf numFmtId="0" fontId="24" fillId="0" borderId="2" xfId="23" applyFont="1" applyFill="1" applyBorder="1" applyAlignment="1" applyProtection="1">
      <alignment horizontal="center" vertical="center" wrapText="1"/>
      <protection hidden="1"/>
    </xf>
    <xf numFmtId="0" fontId="24" fillId="6" borderId="130" xfId="23" applyFont="1" applyFill="1" applyBorder="1" applyAlignment="1" applyProtection="1">
      <alignment horizontal="center" vertical="center" wrapText="1"/>
      <protection hidden="1"/>
    </xf>
    <xf numFmtId="1" fontId="24" fillId="0" borderId="2" xfId="22" applyNumberFormat="1" applyFont="1" applyBorder="1" applyAlignment="1">
      <alignment horizontal="center" vertical="center" wrapText="1"/>
    </xf>
    <xf numFmtId="0" fontId="24" fillId="0" borderId="2" xfId="0" applyFont="1" applyBorder="1" applyAlignment="1">
      <alignment horizontal="center" vertical="center" wrapText="1"/>
    </xf>
    <xf numFmtId="0" fontId="24" fillId="6" borderId="17" xfId="23" applyFont="1" applyFill="1" applyBorder="1" applyAlignment="1" applyProtection="1">
      <alignment horizontal="center" vertical="center" wrapText="1"/>
      <protection hidden="1"/>
    </xf>
    <xf numFmtId="14" fontId="24" fillId="6" borderId="130" xfId="24" applyNumberFormat="1" applyFont="1" applyFill="1" applyBorder="1" applyAlignment="1">
      <alignment horizontal="center" vertical="center" wrapText="1"/>
    </xf>
    <xf numFmtId="0" fontId="1" fillId="18" borderId="63" xfId="29" applyFont="1" applyFill="1" applyBorder="1" applyAlignment="1" applyProtection="1">
      <alignment horizontal="center" vertical="center" wrapText="1"/>
      <protection hidden="1"/>
    </xf>
    <xf numFmtId="0" fontId="24" fillId="18" borderId="63" xfId="29" applyFont="1" applyFill="1" applyBorder="1" applyAlignment="1" applyProtection="1">
      <alignment horizontal="center" vertical="center" wrapText="1"/>
      <protection hidden="1"/>
    </xf>
    <xf numFmtId="3" fontId="24" fillId="18" borderId="63" xfId="28" applyNumberFormat="1" applyFont="1" applyFill="1" applyBorder="1" applyAlignment="1">
      <alignment horizontal="center" vertical="center" wrapText="1"/>
      <protection/>
    </xf>
    <xf numFmtId="1" fontId="24" fillId="18" borderId="63" xfId="28" applyNumberFormat="1" applyFont="1" applyFill="1" applyBorder="1" applyAlignment="1">
      <alignment horizontal="center" vertical="center" wrapText="1"/>
      <protection/>
    </xf>
    <xf numFmtId="1" fontId="24" fillId="0" borderId="63" xfId="32" applyNumberFormat="1" applyFont="1" applyFill="1" applyBorder="1" applyAlignment="1" applyProtection="1">
      <alignment horizontal="center" vertical="center" wrapText="1"/>
      <protection/>
    </xf>
    <xf numFmtId="169" fontId="36" fillId="0" borderId="63" xfId="29" applyNumberFormat="1" applyFont="1" applyFill="1" applyBorder="1" applyAlignment="1" applyProtection="1">
      <alignment horizontal="center" vertical="center" wrapText="1"/>
      <protection hidden="1"/>
    </xf>
    <xf numFmtId="0" fontId="1" fillId="0" borderId="63" xfId="29" applyFont="1" applyFill="1" applyBorder="1" applyAlignment="1" applyProtection="1">
      <alignment horizontal="center" vertical="center" wrapText="1"/>
      <protection hidden="1"/>
    </xf>
    <xf numFmtId="0" fontId="24" fillId="6" borderId="63" xfId="23" applyFont="1" applyFill="1" applyBorder="1" applyAlignment="1" applyProtection="1">
      <alignment horizontal="center" vertical="center" wrapText="1"/>
      <protection hidden="1"/>
    </xf>
    <xf numFmtId="1" fontId="24" fillId="0" borderId="63" xfId="22" applyNumberFormat="1" applyFont="1" applyBorder="1" applyAlignment="1">
      <alignment horizontal="center" vertical="center" wrapText="1"/>
    </xf>
    <xf numFmtId="0" fontId="24" fillId="0" borderId="63" xfId="0" applyFont="1" applyBorder="1" applyAlignment="1">
      <alignment horizontal="center" vertical="center" wrapText="1"/>
    </xf>
    <xf numFmtId="14" fontId="24" fillId="6" borderId="63" xfId="24" applyNumberFormat="1" applyFont="1" applyFill="1" applyBorder="1" applyAlignment="1">
      <alignment horizontal="center" vertical="center" wrapText="1"/>
    </xf>
    <xf numFmtId="1" fontId="36" fillId="0" borderId="63" xfId="32" applyNumberFormat="1" applyFont="1" applyFill="1" applyBorder="1" applyAlignment="1" applyProtection="1">
      <alignment horizontal="center" vertical="center" wrapText="1"/>
      <protection/>
    </xf>
    <xf numFmtId="0" fontId="24" fillId="6" borderId="19" xfId="23" applyFont="1" applyFill="1" applyBorder="1" applyAlignment="1" applyProtection="1">
      <alignment horizontal="center" vertical="center" wrapText="1"/>
      <protection hidden="1"/>
    </xf>
    <xf numFmtId="0" fontId="24" fillId="0" borderId="11" xfId="0" applyFont="1" applyBorder="1" applyAlignment="1">
      <alignment horizontal="center" vertical="center" wrapText="1"/>
    </xf>
    <xf numFmtId="0" fontId="24" fillId="5" borderId="4" xfId="23" applyFont="1" applyFill="1" applyBorder="1" applyAlignment="1" applyProtection="1">
      <alignment horizontal="center" vertical="center" wrapText="1"/>
      <protection hidden="1"/>
    </xf>
    <xf numFmtId="0" fontId="17" fillId="6" borderId="6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24" fillId="0" borderId="20" xfId="0" applyFont="1" applyBorder="1" applyAlignment="1">
      <alignment horizontal="center" vertical="center" wrapText="1"/>
    </xf>
    <xf numFmtId="0" fontId="1" fillId="5" borderId="2" xfId="23" applyFont="1" applyFill="1" applyBorder="1" applyAlignment="1" applyProtection="1">
      <alignment horizontal="center" vertical="center" wrapText="1"/>
      <protection hidden="1"/>
    </xf>
    <xf numFmtId="166" fontId="1" fillId="6" borderId="20" xfId="23" applyNumberFormat="1" applyFont="1" applyFill="1" applyBorder="1" applyAlignment="1" applyProtection="1">
      <alignment horizontal="center" vertical="center" wrapText="1"/>
      <protection hidden="1"/>
    </xf>
    <xf numFmtId="0" fontId="23" fillId="3" borderId="19" xfId="0" applyFont="1" applyFill="1" applyBorder="1" applyAlignment="1">
      <alignment horizontal="center" vertical="center" wrapText="1"/>
    </xf>
    <xf numFmtId="9" fontId="23" fillId="3" borderId="19" xfId="0" applyNumberFormat="1" applyFont="1" applyFill="1" applyBorder="1" applyAlignment="1">
      <alignment horizontal="center" vertical="center" wrapText="1"/>
    </xf>
    <xf numFmtId="176" fontId="23" fillId="3" borderId="19" xfId="20" applyNumberFormat="1" applyFont="1" applyFill="1" applyBorder="1" applyAlignment="1">
      <alignment horizontal="center" vertical="center" wrapText="1"/>
    </xf>
    <xf numFmtId="9" fontId="23" fillId="3" borderId="19" xfId="22" applyFont="1" applyFill="1" applyBorder="1" applyAlignment="1">
      <alignment horizontal="center" vertical="center" wrapText="1"/>
    </xf>
    <xf numFmtId="0" fontId="24" fillId="6" borderId="3" xfId="23" applyFont="1" applyFill="1" applyBorder="1" applyAlignment="1" applyProtection="1">
      <alignment horizontal="center" vertical="center" wrapText="1"/>
      <protection hidden="1"/>
    </xf>
    <xf numFmtId="1" fontId="24" fillId="6" borderId="24" xfId="20" applyNumberFormat="1" applyFont="1" applyFill="1" applyBorder="1" applyAlignment="1" applyProtection="1">
      <alignment horizontal="center" vertical="center" wrapText="1"/>
      <protection hidden="1"/>
    </xf>
    <xf numFmtId="0" fontId="24" fillId="6" borderId="2" xfId="23" applyFont="1" applyFill="1" applyBorder="1" applyAlignment="1" applyProtection="1">
      <alignment horizontal="center" vertical="center" wrapText="1"/>
      <protection hidden="1"/>
    </xf>
    <xf numFmtId="9" fontId="24" fillId="0" borderId="4" xfId="22" applyFont="1" applyBorder="1" applyAlignment="1">
      <alignment horizontal="center" vertical="center" wrapText="1"/>
    </xf>
    <xf numFmtId="14" fontId="24" fillId="6" borderId="2" xfId="24" applyNumberFormat="1" applyFont="1" applyFill="1" applyBorder="1" applyAlignment="1">
      <alignment horizontal="center" vertical="center" wrapText="1"/>
    </xf>
    <xf numFmtId="14" fontId="24" fillId="6" borderId="17" xfId="24" applyNumberFormat="1" applyFont="1" applyFill="1" applyBorder="1" applyAlignment="1">
      <alignment horizontal="center" vertical="center" wrapText="1"/>
    </xf>
    <xf numFmtId="0" fontId="24" fillId="6" borderId="12" xfId="23" applyFont="1" applyFill="1" applyBorder="1" applyAlignment="1" applyProtection="1">
      <alignment horizontal="center" vertical="center" wrapText="1"/>
      <protection hidden="1"/>
    </xf>
    <xf numFmtId="0" fontId="1" fillId="6" borderId="15" xfId="23" applyFont="1" applyFill="1" applyBorder="1" applyAlignment="1" applyProtection="1">
      <alignment horizontal="center" vertical="center" wrapText="1"/>
      <protection hidden="1"/>
    </xf>
    <xf numFmtId="1" fontId="1" fillId="6" borderId="16" xfId="20" applyNumberFormat="1" applyFont="1" applyFill="1" applyBorder="1" applyAlignment="1" applyProtection="1">
      <alignment horizontal="center" vertical="center" wrapText="1"/>
      <protection hidden="1"/>
    </xf>
    <xf numFmtId="0" fontId="24" fillId="6" borderId="13" xfId="23" applyFont="1" applyFill="1" applyBorder="1" applyAlignment="1" applyProtection="1">
      <alignment horizontal="center" vertical="center" wrapText="1"/>
      <protection hidden="1"/>
    </xf>
    <xf numFmtId="14" fontId="24" fillId="6" borderId="13" xfId="24" applyNumberFormat="1" applyFont="1" applyFill="1" applyBorder="1" applyAlignment="1">
      <alignment horizontal="center" vertical="center" wrapText="1"/>
    </xf>
    <xf numFmtId="14" fontId="24" fillId="6" borderId="14" xfId="24" applyNumberFormat="1" applyFont="1" applyFill="1" applyBorder="1" applyAlignment="1">
      <alignment horizontal="center" vertical="center" wrapText="1"/>
    </xf>
    <xf numFmtId="0" fontId="24" fillId="0" borderId="12" xfId="23" applyFont="1" applyFill="1" applyBorder="1" applyAlignment="1" applyProtection="1">
      <alignment horizontal="center" vertical="center" wrapText="1"/>
      <protection hidden="1"/>
    </xf>
    <xf numFmtId="0" fontId="18" fillId="6" borderId="31" xfId="23" applyFont="1" applyFill="1" applyBorder="1" applyAlignment="1" applyProtection="1">
      <alignment horizontal="center" vertical="center" wrapText="1"/>
      <protection hidden="1"/>
    </xf>
    <xf numFmtId="0" fontId="18" fillId="6" borderId="15" xfId="23" applyFont="1" applyFill="1" applyBorder="1" applyAlignment="1" applyProtection="1">
      <alignment horizontal="center" vertical="center" wrapText="1"/>
      <protection hidden="1"/>
    </xf>
    <xf numFmtId="0" fontId="18" fillId="5" borderId="15" xfId="23" applyFont="1" applyFill="1" applyBorder="1" applyAlignment="1" applyProtection="1">
      <alignment horizontal="center" vertical="center" wrapText="1"/>
      <protection hidden="1"/>
    </xf>
    <xf numFmtId="44" fontId="1" fillId="6" borderId="35" xfId="21" applyFont="1" applyFill="1" applyBorder="1" applyAlignment="1" applyProtection="1">
      <alignment horizontal="center" vertical="center" wrapText="1"/>
      <protection hidden="1"/>
    </xf>
    <xf numFmtId="0" fontId="24" fillId="0" borderId="8" xfId="23" applyFont="1" applyFill="1" applyBorder="1" applyAlignment="1" applyProtection="1">
      <alignment horizontal="center" vertical="center" wrapText="1"/>
      <protection hidden="1"/>
    </xf>
    <xf numFmtId="1" fontId="24" fillId="0" borderId="20" xfId="22" applyNumberFormat="1" applyFont="1" applyBorder="1" applyAlignment="1">
      <alignment horizontal="center" vertical="center" wrapText="1"/>
    </xf>
    <xf numFmtId="0" fontId="24" fillId="6" borderId="39" xfId="23" applyFont="1" applyFill="1" applyBorder="1" applyAlignment="1" applyProtection="1">
      <alignment horizontal="center" vertical="center" wrapText="1"/>
      <protection hidden="1"/>
    </xf>
    <xf numFmtId="0" fontId="24" fillId="5" borderId="130" xfId="23" applyFont="1" applyFill="1" applyBorder="1" applyAlignment="1" applyProtection="1">
      <alignment horizontal="center" vertical="center" wrapText="1"/>
      <protection hidden="1"/>
    </xf>
    <xf numFmtId="1" fontId="24" fillId="6" borderId="130" xfId="20" applyNumberFormat="1" applyFont="1" applyFill="1" applyBorder="1" applyAlignment="1" applyProtection="1">
      <alignment horizontal="center" vertical="center" wrapText="1"/>
      <protection hidden="1"/>
    </xf>
    <xf numFmtId="166" fontId="24" fillId="6" borderId="2" xfId="23" applyNumberFormat="1" applyFont="1" applyFill="1" applyBorder="1" applyAlignment="1" applyProtection="1">
      <alignment horizontal="center" vertical="center" wrapText="1"/>
      <protection hidden="1"/>
    </xf>
    <xf numFmtId="0" fontId="24" fillId="0" borderId="62" xfId="23" applyFont="1" applyFill="1" applyBorder="1" applyAlignment="1" applyProtection="1">
      <alignment horizontal="center" vertical="center" wrapText="1"/>
      <protection hidden="1"/>
    </xf>
    <xf numFmtId="0" fontId="19" fillId="5" borderId="130" xfId="23" applyFont="1" applyFill="1" applyBorder="1" applyAlignment="1" applyProtection="1">
      <alignment horizontal="center" vertical="center" wrapText="1"/>
      <protection hidden="1"/>
    </xf>
    <xf numFmtId="166" fontId="24" fillId="6" borderId="130" xfId="23" applyNumberFormat="1" applyFont="1" applyFill="1" applyBorder="1" applyAlignment="1" applyProtection="1">
      <alignment horizontal="center" vertical="center" wrapText="1"/>
      <protection hidden="1"/>
    </xf>
    <xf numFmtId="44" fontId="1" fillId="6" borderId="130" xfId="21" applyFont="1" applyFill="1" applyBorder="1" applyAlignment="1" applyProtection="1">
      <alignment horizontal="center" vertical="center" wrapText="1"/>
      <protection hidden="1"/>
    </xf>
    <xf numFmtId="1" fontId="24" fillId="0" borderId="130" xfId="22" applyNumberFormat="1" applyFont="1" applyBorder="1" applyAlignment="1">
      <alignment horizontal="center" vertical="center" wrapText="1"/>
    </xf>
    <xf numFmtId="0" fontId="24" fillId="0" borderId="130" xfId="0" applyFont="1" applyBorder="1" applyAlignment="1">
      <alignment horizontal="center" vertical="center" wrapText="1"/>
    </xf>
    <xf numFmtId="0" fontId="24" fillId="0" borderId="63" xfId="23" applyFont="1" applyFill="1" applyBorder="1" applyAlignment="1" applyProtection="1">
      <alignment horizontal="center" vertical="center" wrapText="1"/>
      <protection hidden="1"/>
    </xf>
    <xf numFmtId="0" fontId="19" fillId="5" borderId="63" xfId="23" applyFont="1" applyFill="1" applyBorder="1" applyAlignment="1" applyProtection="1">
      <alignment horizontal="center" vertical="center" wrapText="1"/>
      <protection hidden="1"/>
    </xf>
    <xf numFmtId="0" fontId="24" fillId="5" borderId="63" xfId="23" applyFont="1" applyFill="1" applyBorder="1" applyAlignment="1" applyProtection="1">
      <alignment horizontal="center" vertical="center" wrapText="1"/>
      <protection hidden="1"/>
    </xf>
    <xf numFmtId="1" fontId="24" fillId="6" borderId="63" xfId="20" applyNumberFormat="1" applyFont="1" applyFill="1" applyBorder="1" applyAlignment="1" applyProtection="1">
      <alignment horizontal="center" vertical="center" wrapText="1"/>
      <protection hidden="1"/>
    </xf>
    <xf numFmtId="166" fontId="24" fillId="6" borderId="63" xfId="23" applyNumberFormat="1" applyFont="1" applyFill="1" applyBorder="1" applyAlignment="1" applyProtection="1">
      <alignment horizontal="center" vertical="center" wrapText="1"/>
      <protection hidden="1"/>
    </xf>
    <xf numFmtId="44" fontId="1" fillId="6" borderId="63" xfId="21" applyFont="1" applyFill="1" applyBorder="1" applyAlignment="1" applyProtection="1">
      <alignment horizontal="center" vertical="center" wrapText="1"/>
      <protection hidden="1"/>
    </xf>
    <xf numFmtId="0" fontId="21" fillId="6" borderId="63" xfId="0" applyFont="1" applyFill="1" applyBorder="1" applyAlignment="1">
      <alignment horizontal="center" vertical="center" wrapText="1"/>
    </xf>
    <xf numFmtId="0" fontId="24" fillId="0" borderId="132" xfId="0" applyFont="1" applyBorder="1" applyAlignment="1">
      <alignment horizontal="center" vertical="center" wrapText="1"/>
    </xf>
    <xf numFmtId="14" fontId="24" fillId="6" borderId="132" xfId="24" applyNumberFormat="1" applyFont="1" applyFill="1" applyBorder="1" applyAlignment="1">
      <alignment horizontal="center" vertical="center" wrapText="1"/>
    </xf>
    <xf numFmtId="0" fontId="19" fillId="5" borderId="132" xfId="23" applyFont="1" applyFill="1" applyBorder="1" applyAlignment="1" applyProtection="1">
      <alignment horizontal="center" vertical="center" wrapText="1"/>
      <protection hidden="1"/>
    </xf>
    <xf numFmtId="0" fontId="24" fillId="5" borderId="132" xfId="23" applyFont="1" applyFill="1" applyBorder="1" applyAlignment="1" applyProtection="1">
      <alignment horizontal="center" vertical="center" wrapText="1"/>
      <protection hidden="1"/>
    </xf>
    <xf numFmtId="1" fontId="24" fillId="6" borderId="132" xfId="20" applyNumberFormat="1" applyFont="1" applyFill="1" applyBorder="1" applyAlignment="1" applyProtection="1">
      <alignment horizontal="center" vertical="center" wrapText="1"/>
      <protection hidden="1"/>
    </xf>
    <xf numFmtId="0" fontId="21" fillId="5" borderId="63" xfId="0" applyFont="1" applyFill="1" applyBorder="1" applyAlignment="1">
      <alignment horizontal="center" vertical="center" wrapText="1"/>
    </xf>
    <xf numFmtId="0" fontId="17" fillId="7" borderId="133" xfId="0" applyFont="1" applyFill="1" applyBorder="1" applyAlignment="1">
      <alignment horizontal="center" vertical="center" wrapText="1"/>
    </xf>
    <xf numFmtId="0" fontId="15" fillId="8" borderId="1" xfId="29" applyFont="1" applyFill="1" applyBorder="1" applyAlignment="1" applyProtection="1">
      <alignment horizontal="center" vertical="center" wrapText="1"/>
      <protection hidden="1"/>
    </xf>
    <xf numFmtId="1" fontId="20" fillId="8" borderId="1" xfId="0" applyNumberFormat="1" applyFont="1" applyFill="1" applyBorder="1" applyAlignment="1">
      <alignment horizontal="center" vertical="center" wrapText="1"/>
    </xf>
    <xf numFmtId="0" fontId="43" fillId="8" borderId="1" xfId="23" applyFont="1" applyFill="1" applyBorder="1" applyAlignment="1" applyProtection="1">
      <alignment horizontal="center" vertical="center" wrapText="1"/>
      <protection hidden="1"/>
    </xf>
    <xf numFmtId="0" fontId="15" fillId="8" borderId="63" xfId="23" applyFont="1" applyFill="1" applyBorder="1" applyAlignment="1" applyProtection="1">
      <alignment horizontal="center" vertical="center" wrapText="1"/>
      <protection hidden="1"/>
    </xf>
    <xf numFmtId="0" fontId="15" fillId="9" borderId="12"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0" fillId="0" borderId="0" xfId="0" applyAlignment="1">
      <alignment horizontal="center" vertical="center"/>
    </xf>
    <xf numFmtId="164" fontId="7" fillId="41" borderId="0" xfId="0" applyNumberFormat="1" applyFont="1" applyFill="1" applyBorder="1" applyAlignment="1">
      <alignment horizontal="center" vertical="center" wrapText="1"/>
    </xf>
    <xf numFmtId="164" fontId="8" fillId="41" borderId="0" xfId="0" applyNumberFormat="1" applyFont="1" applyFill="1" applyBorder="1" applyAlignment="1">
      <alignment horizontal="center" vertical="center" wrapText="1"/>
    </xf>
    <xf numFmtId="0" fontId="0" fillId="41" borderId="0" xfId="0" applyFill="1"/>
    <xf numFmtId="0" fontId="11" fillId="41" borderId="62" xfId="0" applyFont="1" applyFill="1" applyBorder="1" applyAlignment="1">
      <alignment horizontal="center" vertical="center" wrapText="1"/>
    </xf>
    <xf numFmtId="0" fontId="9" fillId="41" borderId="0" xfId="0" applyFont="1" applyFill="1" applyBorder="1" applyAlignment="1">
      <alignment horizontal="center" vertical="center" wrapText="1"/>
    </xf>
    <xf numFmtId="0" fontId="29" fillId="41" borderId="0" xfId="0" applyFont="1" applyFill="1" applyBorder="1" applyAlignment="1">
      <alignment horizontal="center" vertical="center" wrapText="1"/>
    </xf>
    <xf numFmtId="0" fontId="14" fillId="41" borderId="1" xfId="23" applyFont="1" applyFill="1" applyBorder="1" applyAlignment="1" applyProtection="1">
      <alignment horizontal="center" vertical="center" wrapText="1"/>
      <protection hidden="1"/>
    </xf>
    <xf numFmtId="0" fontId="74" fillId="41" borderId="1" xfId="23" applyNumberFormat="1" applyFont="1" applyFill="1" applyBorder="1" applyAlignment="1" applyProtection="1">
      <alignment horizontal="center" vertical="center" wrapText="1"/>
      <protection hidden="1"/>
    </xf>
    <xf numFmtId="9" fontId="43" fillId="8" borderId="1" xfId="22" applyFont="1" applyFill="1" applyBorder="1" applyAlignment="1" applyProtection="1">
      <alignment horizontal="center" vertical="center" wrapText="1"/>
      <protection hidden="1"/>
    </xf>
    <xf numFmtId="0" fontId="43" fillId="8"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45" fillId="8" borderId="1" xfId="0" applyFont="1" applyFill="1" applyBorder="1" applyAlignment="1">
      <alignment horizontal="center" vertical="center" wrapText="1"/>
    </xf>
    <xf numFmtId="9" fontId="45" fillId="8" borderId="1" xfId="22" applyFont="1" applyFill="1" applyBorder="1" applyAlignment="1">
      <alignment horizontal="center" vertical="center" wrapText="1"/>
    </xf>
    <xf numFmtId="9" fontId="31" fillId="8" borderId="1" xfId="22" applyFont="1" applyFill="1" applyBorder="1" applyAlignment="1">
      <alignment horizontal="center" vertical="center" wrapText="1"/>
    </xf>
    <xf numFmtId="9" fontId="86" fillId="10" borderId="1" xfId="23" applyNumberFormat="1" applyFont="1" applyFill="1" applyBorder="1" applyAlignment="1" applyProtection="1">
      <alignment horizontal="center" vertical="center" wrapText="1"/>
      <protection hidden="1"/>
    </xf>
    <xf numFmtId="0" fontId="86" fillId="10" borderId="1" xfId="23" applyFont="1" applyFill="1" applyBorder="1" applyAlignment="1" applyProtection="1">
      <alignment horizontal="center" vertical="center" wrapText="1"/>
      <protection hidden="1"/>
    </xf>
    <xf numFmtId="0" fontId="24" fillId="0" borderId="47" xfId="23" applyFont="1" applyFill="1" applyBorder="1" applyAlignment="1" applyProtection="1">
      <alignment horizontal="center" vertical="center" wrapText="1"/>
      <protection hidden="1"/>
    </xf>
    <xf numFmtId="0" fontId="24" fillId="0" borderId="30" xfId="0" applyFont="1" applyFill="1" applyBorder="1" applyAlignment="1">
      <alignment horizontal="center" vertical="center" wrapText="1"/>
    </xf>
    <xf numFmtId="0" fontId="24" fillId="5" borderId="14" xfId="23" applyFont="1" applyFill="1" applyBorder="1" applyAlignment="1" applyProtection="1">
      <alignment horizontal="center" vertical="center" wrapText="1"/>
      <protection hidden="1"/>
    </xf>
    <xf numFmtId="0" fontId="24" fillId="5" borderId="11" xfId="23" applyFont="1" applyFill="1" applyBorder="1" applyAlignment="1" applyProtection="1">
      <alignment horizontal="center" vertical="center" wrapText="1"/>
      <protection hidden="1"/>
    </xf>
    <xf numFmtId="3" fontId="24" fillId="5" borderId="11" xfId="0" applyNumberFormat="1" applyFont="1" applyFill="1" applyBorder="1" applyAlignment="1">
      <alignment horizontal="center" vertical="center" wrapText="1"/>
    </xf>
    <xf numFmtId="9" fontId="1" fillId="0" borderId="30" xfId="0" applyNumberFormat="1" applyFont="1" applyFill="1" applyBorder="1" applyAlignment="1">
      <alignment horizontal="center" vertical="center" wrapText="1"/>
    </xf>
    <xf numFmtId="9" fontId="24" fillId="0" borderId="30" xfId="0" applyNumberFormat="1" applyFont="1" applyFill="1" applyBorder="1" applyAlignment="1">
      <alignment horizontal="center" vertical="center" wrapText="1"/>
    </xf>
    <xf numFmtId="0" fontId="24" fillId="0" borderId="16" xfId="0" applyFont="1" applyFill="1" applyBorder="1" applyAlignment="1">
      <alignment horizontal="center" vertical="center" wrapText="1"/>
    </xf>
    <xf numFmtId="9" fontId="24" fillId="5" borderId="14" xfId="23" applyNumberFormat="1" applyFont="1" applyFill="1" applyBorder="1" applyAlignment="1" applyProtection="1">
      <alignment horizontal="center" vertical="center" wrapText="1"/>
      <protection hidden="1"/>
    </xf>
    <xf numFmtId="1" fontId="24" fillId="0" borderId="11" xfId="20" applyNumberFormat="1" applyFont="1" applyBorder="1" applyAlignment="1">
      <alignment horizontal="center" vertical="center" wrapText="1"/>
    </xf>
    <xf numFmtId="0" fontId="24" fillId="6" borderId="16" xfId="0" applyFont="1" applyFill="1" applyBorder="1" applyAlignment="1">
      <alignment horizontal="center" vertical="center" wrapText="1"/>
    </xf>
    <xf numFmtId="0" fontId="24" fillId="0" borderId="1" xfId="23" applyFont="1" applyFill="1" applyBorder="1" applyAlignment="1" applyProtection="1">
      <alignment horizontal="center" vertical="center" wrapText="1"/>
      <protection hidden="1"/>
    </xf>
    <xf numFmtId="0" fontId="24" fillId="0" borderId="11" xfId="23" applyFont="1" applyFill="1" applyBorder="1" applyAlignment="1" applyProtection="1">
      <alignment horizontal="center" vertical="center" wrapText="1"/>
      <protection hidden="1"/>
    </xf>
    <xf numFmtId="0" fontId="24" fillId="0" borderId="7" xfId="0" applyFont="1" applyFill="1" applyBorder="1" applyAlignment="1">
      <alignment horizontal="center" vertical="center" wrapText="1"/>
    </xf>
    <xf numFmtId="1" fontId="24" fillId="0" borderId="7" xfId="20" applyNumberFormat="1" applyFont="1" applyBorder="1" applyAlignment="1">
      <alignment horizontal="center" vertical="center" wrapText="1"/>
    </xf>
    <xf numFmtId="0" fontId="24" fillId="6" borderId="28" xfId="23" applyFont="1" applyFill="1" applyBorder="1" applyAlignment="1" applyProtection="1">
      <alignment horizontal="center" vertical="center" wrapText="1"/>
      <protection hidden="1"/>
    </xf>
    <xf numFmtId="0" fontId="24" fillId="0" borderId="53" xfId="0" applyFont="1" applyFill="1" applyBorder="1" applyAlignment="1">
      <alignment horizontal="center" vertical="center" wrapText="1"/>
    </xf>
    <xf numFmtId="1" fontId="24" fillId="6" borderId="4" xfId="22" applyNumberFormat="1" applyFont="1" applyFill="1" applyBorder="1" applyAlignment="1" applyProtection="1">
      <alignment horizontal="center" vertical="center" wrapText="1"/>
      <protection hidden="1"/>
    </xf>
    <xf numFmtId="0" fontId="24" fillId="0" borderId="1" xfId="0" applyFont="1" applyFill="1" applyBorder="1" applyAlignment="1">
      <alignment horizontal="center" vertical="center" wrapText="1"/>
    </xf>
    <xf numFmtId="0" fontId="24" fillId="0" borderId="25" xfId="0" applyFont="1" applyFill="1" applyBorder="1" applyAlignment="1">
      <alignment horizontal="center" vertical="center" wrapText="1"/>
    </xf>
    <xf numFmtId="1" fontId="24" fillId="0" borderId="22"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14" fontId="24" fillId="0" borderId="11" xfId="24" applyNumberFormat="1" applyFont="1" applyFill="1" applyBorder="1" applyAlignment="1">
      <alignment horizontal="center" vertical="center" wrapText="1"/>
    </xf>
    <xf numFmtId="9" fontId="24" fillId="5" borderId="11" xfId="23" applyNumberFormat="1" applyFont="1" applyFill="1" applyBorder="1" applyAlignment="1" applyProtection="1">
      <alignment horizontal="center" vertical="center" wrapText="1"/>
      <protection hidden="1"/>
    </xf>
    <xf numFmtId="1" fontId="24" fillId="6" borderId="11" xfId="23" applyNumberFormat="1" applyFont="1" applyFill="1" applyBorder="1" applyAlignment="1" applyProtection="1">
      <alignment horizontal="center" vertical="center" wrapText="1"/>
      <protection hidden="1"/>
    </xf>
    <xf numFmtId="166" fontId="24" fillId="6" borderId="28" xfId="23" applyNumberFormat="1" applyFont="1" applyFill="1" applyBorder="1" applyAlignment="1" applyProtection="1">
      <alignment horizontal="center" vertical="center" wrapText="1"/>
      <protection hidden="1"/>
    </xf>
    <xf numFmtId="0" fontId="24" fillId="6" borderId="27" xfId="23" applyFont="1" applyFill="1" applyBorder="1" applyAlignment="1" applyProtection="1">
      <alignment horizontal="center" vertical="center" wrapText="1"/>
      <protection hidden="1"/>
    </xf>
    <xf numFmtId="0" fontId="88" fillId="3" borderId="1" xfId="0" applyFont="1" applyFill="1" applyBorder="1" applyAlignment="1">
      <alignment horizontal="center" vertical="center" wrapText="1"/>
    </xf>
    <xf numFmtId="9" fontId="88" fillId="3" borderId="1" xfId="0" applyNumberFormat="1" applyFont="1" applyFill="1" applyBorder="1" applyAlignment="1">
      <alignment horizontal="center" vertical="center" wrapText="1"/>
    </xf>
    <xf numFmtId="176" fontId="88" fillId="3" borderId="1" xfId="20" applyNumberFormat="1" applyFont="1" applyFill="1" applyBorder="1" applyAlignment="1">
      <alignment horizontal="center" vertical="center" wrapText="1"/>
    </xf>
    <xf numFmtId="9" fontId="88" fillId="3" borderId="1" xfId="22" applyFont="1" applyFill="1" applyBorder="1" applyAlignment="1">
      <alignment horizontal="center" vertical="center" wrapText="1"/>
    </xf>
    <xf numFmtId="0" fontId="89" fillId="4" borderId="1" xfId="0" applyFont="1" applyFill="1" applyBorder="1" applyAlignment="1">
      <alignment horizontal="center" vertical="center" wrapText="1"/>
    </xf>
    <xf numFmtId="9" fontId="89" fillId="4" borderId="1" xfId="22" applyFont="1" applyFill="1" applyBorder="1" applyAlignment="1">
      <alignment horizontal="center" vertical="center" wrapText="1"/>
    </xf>
    <xf numFmtId="176" fontId="89" fillId="4" borderId="1" xfId="20" applyNumberFormat="1" applyFont="1" applyFill="1" applyBorder="1" applyAlignment="1">
      <alignment horizontal="center" vertical="center" wrapText="1"/>
    </xf>
    <xf numFmtId="0" fontId="88" fillId="8" borderId="1" xfId="0" applyFont="1" applyFill="1" applyBorder="1" applyAlignment="1">
      <alignment horizontal="center" vertical="center" wrapText="1"/>
    </xf>
    <xf numFmtId="0" fontId="88" fillId="6" borderId="0" xfId="0" applyFont="1" applyFill="1" applyAlignment="1">
      <alignment horizontal="center" vertical="center" wrapText="1"/>
    </xf>
    <xf numFmtId="0" fontId="24" fillId="0" borderId="4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36" xfId="0" applyFont="1" applyFill="1" applyBorder="1" applyAlignment="1">
      <alignment horizontal="center" vertical="center" wrapText="1"/>
    </xf>
    <xf numFmtId="9" fontId="24" fillId="5" borderId="36" xfId="23" applyNumberFormat="1" applyFont="1" applyFill="1" applyBorder="1" applyAlignment="1" applyProtection="1">
      <alignment horizontal="center" vertical="center" wrapText="1"/>
      <protection hidden="1"/>
    </xf>
    <xf numFmtId="1" fontId="24" fillId="5" borderId="4" xfId="23" applyNumberFormat="1" applyFont="1" applyFill="1" applyBorder="1" applyAlignment="1" applyProtection="1">
      <alignment horizontal="center" vertical="center" wrapText="1"/>
      <protection hidden="1"/>
    </xf>
    <xf numFmtId="1" fontId="24" fillId="6" borderId="36" xfId="23" applyNumberFormat="1" applyFont="1" applyFill="1" applyBorder="1" applyAlignment="1" applyProtection="1">
      <alignment horizontal="center" vertical="center" wrapText="1"/>
      <protection hidden="1"/>
    </xf>
    <xf numFmtId="1" fontId="24" fillId="6" borderId="22" xfId="20" applyNumberFormat="1" applyFont="1" applyFill="1" applyBorder="1" applyAlignment="1" applyProtection="1">
      <alignment horizontal="center" vertical="center" wrapText="1"/>
      <protection hidden="1"/>
    </xf>
    <xf numFmtId="0" fontId="24" fillId="0" borderId="28" xfId="0" applyFont="1" applyBorder="1" applyAlignment="1">
      <alignment horizontal="center" vertical="center" wrapText="1"/>
    </xf>
    <xf numFmtId="9" fontId="24" fillId="5" borderId="4" xfId="23" applyNumberFormat="1" applyFont="1" applyFill="1" applyBorder="1" applyAlignment="1" applyProtection="1">
      <alignment horizontal="center" vertical="center" wrapText="1"/>
      <protection hidden="1"/>
    </xf>
    <xf numFmtId="9" fontId="1" fillId="6" borderId="24" xfId="22" applyFont="1" applyFill="1" applyBorder="1" applyAlignment="1" applyProtection="1">
      <alignment horizontal="center" vertical="center" wrapText="1"/>
      <protection hidden="1"/>
    </xf>
    <xf numFmtId="9" fontId="24" fillId="6" borderId="24" xfId="22" applyFont="1" applyFill="1" applyBorder="1" applyAlignment="1" applyProtection="1">
      <alignment horizontal="center" vertical="center" wrapText="1"/>
      <protection hidden="1"/>
    </xf>
    <xf numFmtId="9" fontId="24" fillId="5" borderId="11" xfId="22" applyFont="1" applyFill="1" applyBorder="1" applyAlignment="1">
      <alignment horizontal="center" vertical="center" wrapText="1"/>
    </xf>
    <xf numFmtId="0" fontId="24" fillId="6" borderId="11" xfId="23" applyFont="1" applyFill="1" applyBorder="1" applyAlignment="1" applyProtection="1">
      <alignment horizontal="center" vertical="center" wrapText="1"/>
      <protection hidden="1"/>
    </xf>
    <xf numFmtId="0" fontId="24" fillId="6" borderId="10" xfId="23" applyFont="1" applyFill="1" applyBorder="1" applyAlignment="1" applyProtection="1">
      <alignment horizontal="center" vertical="center" wrapText="1"/>
      <protection hidden="1"/>
    </xf>
    <xf numFmtId="0" fontId="24" fillId="6" borderId="15" xfId="23" applyFont="1" applyFill="1" applyBorder="1" applyAlignment="1" applyProtection="1">
      <alignment horizontal="center" vertical="center" wrapText="1"/>
      <protection hidden="1"/>
    </xf>
    <xf numFmtId="0" fontId="24" fillId="6" borderId="1" xfId="23" applyFont="1" applyFill="1" applyBorder="1" applyAlignment="1" applyProtection="1">
      <alignment horizontal="center" vertical="center" wrapText="1"/>
      <protection hidden="1"/>
    </xf>
    <xf numFmtId="9" fontId="24" fillId="6" borderId="11" xfId="22" applyFont="1" applyFill="1" applyBorder="1" applyAlignment="1" applyProtection="1">
      <alignment horizontal="center" vertical="center" wrapText="1"/>
      <protection hidden="1"/>
    </xf>
    <xf numFmtId="166" fontId="24" fillId="6" borderId="11" xfId="23" applyNumberFormat="1" applyFont="1" applyFill="1" applyBorder="1" applyAlignment="1" applyProtection="1">
      <alignment horizontal="center" vertical="center" wrapText="1"/>
      <protection hidden="1"/>
    </xf>
    <xf numFmtId="0" fontId="24" fillId="5" borderId="28" xfId="23" applyFont="1" applyFill="1" applyBorder="1" applyAlignment="1" applyProtection="1">
      <alignment horizontal="center" vertical="center" wrapText="1"/>
      <protection hidden="1"/>
    </xf>
    <xf numFmtId="0" fontId="72" fillId="6" borderId="1" xfId="23" applyFont="1" applyFill="1" applyBorder="1" applyAlignment="1" applyProtection="1">
      <alignment horizontal="center" vertical="center" wrapText="1"/>
      <protection hidden="1"/>
    </xf>
    <xf numFmtId="0" fontId="72" fillId="6" borderId="9" xfId="23" applyFont="1" applyFill="1" applyBorder="1" applyAlignment="1" applyProtection="1">
      <alignment horizontal="center" vertical="center" wrapText="1"/>
      <protection hidden="1"/>
    </xf>
    <xf numFmtId="0" fontId="72" fillId="6" borderId="28" xfId="23" applyFont="1" applyFill="1" applyBorder="1" applyAlignment="1" applyProtection="1">
      <alignment horizontal="center" vertical="center" wrapText="1"/>
      <protection hidden="1"/>
    </xf>
    <xf numFmtId="9" fontId="72" fillId="6" borderId="50" xfId="22" applyFont="1" applyFill="1" applyBorder="1" applyAlignment="1" applyProtection="1">
      <alignment horizontal="center" vertical="center" wrapText="1"/>
      <protection hidden="1"/>
    </xf>
    <xf numFmtId="14" fontId="72" fillId="6" borderId="9" xfId="23" applyNumberFormat="1" applyFont="1" applyFill="1" applyBorder="1" applyAlignment="1" applyProtection="1">
      <alignment horizontal="center" vertical="center" wrapText="1"/>
      <protection hidden="1"/>
    </xf>
    <xf numFmtId="14" fontId="72" fillId="6" borderId="20" xfId="23" applyNumberFormat="1" applyFont="1" applyFill="1" applyBorder="1" applyAlignment="1" applyProtection="1">
      <alignment horizontal="center" vertical="center" wrapText="1"/>
      <protection hidden="1"/>
    </xf>
    <xf numFmtId="0" fontId="72" fillId="5" borderId="28" xfId="23" applyFont="1" applyFill="1" applyBorder="1" applyAlignment="1" applyProtection="1">
      <alignment horizontal="center" vertical="center" wrapText="1"/>
      <protection hidden="1"/>
    </xf>
    <xf numFmtId="1" fontId="72" fillId="0" borderId="40" xfId="20" applyNumberFormat="1" applyFont="1" applyBorder="1" applyAlignment="1">
      <alignment horizontal="center" vertical="center" wrapText="1"/>
    </xf>
    <xf numFmtId="166" fontId="72" fillId="6" borderId="28" xfId="23" applyNumberFormat="1" applyFont="1" applyFill="1" applyBorder="1" applyAlignment="1" applyProtection="1">
      <alignment horizontal="center" vertical="center" wrapText="1"/>
      <protection hidden="1"/>
    </xf>
    <xf numFmtId="0" fontId="72" fillId="6" borderId="21" xfId="23" applyFont="1" applyFill="1" applyBorder="1" applyAlignment="1" applyProtection="1">
      <alignment horizontal="center" vertical="center" wrapText="1"/>
      <protection hidden="1"/>
    </xf>
    <xf numFmtId="0" fontId="90" fillId="3" borderId="1" xfId="0" applyFont="1" applyFill="1" applyBorder="1" applyAlignment="1">
      <alignment horizontal="center" vertical="center" wrapText="1"/>
    </xf>
    <xf numFmtId="9" fontId="90" fillId="3" borderId="1" xfId="0" applyNumberFormat="1" applyFont="1" applyFill="1" applyBorder="1" applyAlignment="1">
      <alignment horizontal="center" vertical="center" wrapText="1"/>
    </xf>
    <xf numFmtId="176" fontId="90" fillId="3" borderId="1" xfId="20" applyNumberFormat="1" applyFont="1" applyFill="1" applyBorder="1" applyAlignment="1">
      <alignment horizontal="center" vertical="center" wrapText="1"/>
    </xf>
    <xf numFmtId="9" fontId="90" fillId="3" borderId="1" xfId="22" applyFont="1" applyFill="1" applyBorder="1" applyAlignment="1">
      <alignment horizontal="center" vertical="center" wrapText="1"/>
    </xf>
    <xf numFmtId="0" fontId="91" fillId="4" borderId="1" xfId="0" applyFont="1" applyFill="1" applyBorder="1" applyAlignment="1">
      <alignment horizontal="center" vertical="center" wrapText="1"/>
    </xf>
    <xf numFmtId="9" fontId="91" fillId="4" borderId="1" xfId="22" applyFont="1" applyFill="1" applyBorder="1" applyAlignment="1">
      <alignment horizontal="center" vertical="center" wrapText="1"/>
    </xf>
    <xf numFmtId="0" fontId="90" fillId="8" borderId="1" xfId="0" applyFont="1" applyFill="1" applyBorder="1" applyAlignment="1">
      <alignment horizontal="center" vertical="center" wrapText="1"/>
    </xf>
    <xf numFmtId="0" fontId="90" fillId="6" borderId="0" xfId="0" applyFont="1" applyFill="1" applyAlignment="1">
      <alignment horizontal="center" vertical="center" wrapText="1"/>
    </xf>
    <xf numFmtId="0" fontId="13" fillId="2"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1" fontId="24" fillId="0" borderId="11" xfId="20" applyNumberFormat="1" applyFont="1" applyFill="1" applyBorder="1" applyAlignment="1">
      <alignment horizontal="center" vertical="center" wrapText="1"/>
    </xf>
    <xf numFmtId="9" fontId="1" fillId="0" borderId="11" xfId="23" applyNumberFormat="1" applyFont="1" applyFill="1" applyBorder="1" applyAlignment="1" applyProtection="1">
      <alignment horizontal="center" vertical="center" wrapText="1"/>
      <protection hidden="1"/>
    </xf>
    <xf numFmtId="9" fontId="24" fillId="5" borderId="17" xfId="0" applyNumberFormat="1" applyFont="1" applyFill="1" applyBorder="1" applyAlignment="1">
      <alignment horizontal="center" vertical="center" wrapText="1"/>
    </xf>
    <xf numFmtId="0" fontId="24" fillId="5" borderId="50" xfId="23" applyFont="1" applyFill="1" applyBorder="1" applyAlignment="1" applyProtection="1">
      <alignment horizontal="center" vertical="center" wrapText="1"/>
      <protection hidden="1"/>
    </xf>
    <xf numFmtId="3" fontId="24" fillId="5" borderId="50" xfId="0" applyNumberFormat="1" applyFont="1" applyFill="1" applyBorder="1" applyAlignment="1">
      <alignment horizontal="center" vertical="center" wrapText="1"/>
    </xf>
    <xf numFmtId="1" fontId="24" fillId="0" borderId="4" xfId="20" applyNumberFormat="1" applyFont="1" applyBorder="1" applyAlignment="1">
      <alignment horizontal="center" vertical="center" wrapText="1"/>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45" fillId="8" borderId="1" xfId="0" applyFont="1" applyFill="1" applyBorder="1" applyAlignment="1" applyProtection="1">
      <alignment horizontal="center" vertical="center" wrapText="1"/>
      <protection locked="0"/>
    </xf>
    <xf numFmtId="9" fontId="45" fillId="8" borderId="1" xfId="0" applyNumberFormat="1" applyFont="1" applyFill="1" applyBorder="1" applyAlignment="1">
      <alignment horizontal="center" vertical="center" wrapText="1"/>
    </xf>
    <xf numFmtId="0" fontId="45" fillId="8" borderId="1" xfId="0" applyFont="1" applyFill="1" applyBorder="1" applyAlignment="1" applyProtection="1">
      <alignment horizontal="center" vertical="center" wrapText="1"/>
      <protection hidden="1"/>
    </xf>
    <xf numFmtId="9" fontId="45" fillId="8" borderId="1" xfId="22" applyFont="1" applyFill="1" applyBorder="1" applyAlignment="1" applyProtection="1">
      <alignment horizontal="center" vertical="center" wrapText="1"/>
      <protection hidden="1"/>
    </xf>
    <xf numFmtId="0" fontId="87" fillId="8" borderId="1" xfId="0" applyFont="1" applyFill="1" applyBorder="1" applyAlignment="1" applyProtection="1">
      <alignment horizontal="center" vertical="center" wrapText="1"/>
      <protection locked="0"/>
    </xf>
    <xf numFmtId="0" fontId="44" fillId="7" borderId="1" xfId="0" applyFont="1" applyFill="1" applyBorder="1" applyAlignment="1" applyProtection="1">
      <alignment horizontal="center" vertical="center" wrapText="1"/>
      <protection locked="0"/>
    </xf>
    <xf numFmtId="0" fontId="44" fillId="7" borderId="1" xfId="0" applyFont="1" applyFill="1" applyBorder="1" applyAlignment="1">
      <alignment horizontal="center" vertical="center" wrapText="1"/>
    </xf>
    <xf numFmtId="0" fontId="87" fillId="8" borderId="1" xfId="23" applyFont="1" applyFill="1" applyBorder="1" applyAlignment="1" applyProtection="1">
      <alignment horizontal="center" vertical="center" wrapText="1"/>
      <protection locked="0"/>
    </xf>
    <xf numFmtId="0" fontId="87" fillId="8" borderId="1" xfId="23" applyFont="1" applyFill="1" applyBorder="1" applyAlignment="1" applyProtection="1">
      <alignment horizontal="center" vertical="center" wrapText="1"/>
      <protection hidden="1"/>
    </xf>
    <xf numFmtId="9" fontId="45" fillId="8" borderId="1" xfId="22" applyFont="1" applyFill="1" applyBorder="1" applyAlignment="1" applyProtection="1">
      <alignment horizontal="center" vertical="center" wrapText="1"/>
      <protection locked="0"/>
    </xf>
    <xf numFmtId="0" fontId="45" fillId="8" borderId="1" xfId="23" applyFont="1" applyFill="1" applyBorder="1" applyAlignment="1" applyProtection="1">
      <alignment horizontal="center" vertical="center" wrapText="1"/>
      <protection hidden="1"/>
    </xf>
    <xf numFmtId="176" fontId="1" fillId="5" borderId="14" xfId="20" applyNumberFormat="1" applyFont="1" applyFill="1" applyBorder="1" applyAlignment="1" applyProtection="1">
      <alignment horizontal="center" vertical="center" wrapText="1"/>
      <protection hidden="1"/>
    </xf>
    <xf numFmtId="9" fontId="39" fillId="2" borderId="1" xfId="22" applyFont="1" applyFill="1" applyBorder="1" applyAlignment="1">
      <alignment horizontal="center" vertical="center" wrapText="1"/>
    </xf>
    <xf numFmtId="0" fontId="11" fillId="10" borderId="1" xfId="23" applyFont="1" applyFill="1" applyBorder="1" applyAlignment="1" applyProtection="1">
      <alignment horizontal="center" vertical="center" wrapText="1"/>
      <protection hidden="1"/>
    </xf>
    <xf numFmtId="9" fontId="11" fillId="10" borderId="1" xfId="22" applyFont="1" applyFill="1" applyBorder="1" applyAlignment="1" applyProtection="1">
      <alignment horizontal="center" vertical="center" wrapText="1"/>
      <protection hidden="1"/>
    </xf>
    <xf numFmtId="9" fontId="11" fillId="10" borderId="1" xfId="23" applyNumberFormat="1" applyFont="1" applyFill="1" applyBorder="1" applyAlignment="1" applyProtection="1">
      <alignment horizontal="center" vertical="center" wrapText="1"/>
      <protection hidden="1"/>
    </xf>
    <xf numFmtId="178" fontId="45" fillId="8" borderId="1" xfId="21" applyNumberFormat="1" applyFont="1" applyFill="1" applyBorder="1" applyAlignment="1" applyProtection="1">
      <alignment horizontal="center" vertical="center" wrapText="1"/>
      <protection locked="0"/>
    </xf>
    <xf numFmtId="167" fontId="45" fillId="8" borderId="1" xfId="22" applyNumberFormat="1" applyFont="1" applyFill="1" applyBorder="1" applyAlignment="1">
      <alignment horizontal="center" vertical="center" wrapText="1"/>
    </xf>
    <xf numFmtId="9" fontId="86" fillId="10" borderId="1" xfId="22" applyFont="1" applyFill="1" applyBorder="1" applyAlignment="1" applyProtection="1">
      <alignment horizontal="center" vertical="center" wrapText="1"/>
      <protection hidden="1"/>
    </xf>
    <xf numFmtId="9" fontId="43" fillId="9" borderId="1" xfId="22" applyFont="1" applyFill="1" applyBorder="1" applyAlignment="1">
      <alignment horizontal="center" vertical="center" wrapText="1"/>
    </xf>
    <xf numFmtId="0" fontId="20" fillId="19" borderId="66" xfId="28" applyFont="1" applyFill="1" applyBorder="1" applyAlignment="1">
      <alignment horizontal="center" vertical="center" wrapText="1"/>
      <protection/>
    </xf>
    <xf numFmtId="9" fontId="20" fillId="19" borderId="66" xfId="22" applyFont="1" applyFill="1" applyBorder="1" applyAlignment="1" applyProtection="1">
      <alignment horizontal="center" vertical="center" wrapText="1"/>
      <protection hidden="1"/>
    </xf>
    <xf numFmtId="0" fontId="45" fillId="19" borderId="66" xfId="28" applyFont="1" applyFill="1" applyBorder="1" applyAlignment="1">
      <alignment horizontal="center" vertical="center" wrapText="1"/>
      <protection/>
    </xf>
    <xf numFmtId="0" fontId="45" fillId="19" borderId="66" xfId="29" applyFont="1" applyFill="1" applyBorder="1" applyAlignment="1" applyProtection="1">
      <alignment horizontal="center" vertical="center" wrapText="1"/>
      <protection hidden="1"/>
    </xf>
    <xf numFmtId="0" fontId="87" fillId="19" borderId="66" xfId="28" applyFont="1" applyFill="1" applyBorder="1" applyAlignment="1">
      <alignment horizontal="center" vertical="center" wrapText="1"/>
      <protection/>
    </xf>
    <xf numFmtId="0" fontId="87" fillId="19" borderId="66" xfId="29" applyFont="1" applyFill="1" applyBorder="1" applyAlignment="1" applyProtection="1">
      <alignment horizontal="center" vertical="center" wrapText="1"/>
      <protection hidden="1"/>
    </xf>
    <xf numFmtId="0" fontId="18" fillId="8" borderId="1" xfId="0" applyFont="1" applyFill="1" applyBorder="1" applyAlignment="1">
      <alignment horizontal="center" vertical="center" wrapText="1"/>
    </xf>
    <xf numFmtId="9" fontId="18" fillId="8" borderId="1" xfId="22" applyFont="1" applyFill="1" applyBorder="1" applyAlignment="1">
      <alignment horizontal="center" vertical="center" wrapText="1"/>
    </xf>
    <xf numFmtId="44" fontId="18" fillId="8" borderId="1" xfId="21" applyFont="1" applyFill="1" applyBorder="1" applyAlignment="1">
      <alignment horizontal="center" vertical="center" wrapText="1"/>
    </xf>
    <xf numFmtId="0" fontId="92" fillId="7" borderId="1" xfId="0" applyFont="1" applyFill="1" applyBorder="1" applyAlignment="1">
      <alignment horizontal="center" vertical="center" wrapText="1"/>
    </xf>
    <xf numFmtId="9" fontId="92" fillId="7" borderId="1" xfId="22" applyFont="1" applyFill="1" applyBorder="1" applyAlignment="1">
      <alignment horizontal="center" vertical="center" wrapText="1"/>
    </xf>
    <xf numFmtId="9" fontId="92" fillId="7" borderId="1" xfId="0" applyNumberFormat="1" applyFont="1" applyFill="1" applyBorder="1" applyAlignment="1">
      <alignment horizontal="center" vertical="center" wrapText="1"/>
    </xf>
    <xf numFmtId="9" fontId="8" fillId="2" borderId="1" xfId="22"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45" fillId="8" borderId="6" xfId="0" applyFont="1" applyFill="1" applyBorder="1" applyAlignment="1">
      <alignment horizontal="center" vertical="center" wrapText="1"/>
    </xf>
    <xf numFmtId="1" fontId="20" fillId="8" borderId="6" xfId="0" applyNumberFormat="1" applyFont="1" applyFill="1" applyBorder="1" applyAlignment="1">
      <alignment horizontal="center" vertical="center" wrapText="1"/>
    </xf>
    <xf numFmtId="9" fontId="20" fillId="8" borderId="6" xfId="22" applyFont="1" applyFill="1" applyBorder="1" applyAlignment="1">
      <alignment horizontal="center" vertical="center" wrapText="1"/>
    </xf>
    <xf numFmtId="0" fontId="20" fillId="8" borderId="6" xfId="0" applyFont="1" applyFill="1" applyBorder="1" applyAlignment="1">
      <alignment horizontal="center" vertical="center" wrapText="1"/>
    </xf>
    <xf numFmtId="9" fontId="17" fillId="7" borderId="63" xfId="0" applyNumberFormat="1" applyFont="1" applyFill="1" applyBorder="1" applyAlignment="1">
      <alignment horizontal="center" vertical="center" wrapText="1"/>
    </xf>
    <xf numFmtId="9" fontId="17" fillId="7" borderId="63" xfId="22" applyFont="1" applyFill="1" applyBorder="1" applyAlignment="1">
      <alignment horizontal="center" vertical="center" wrapText="1"/>
    </xf>
    <xf numFmtId="9" fontId="13" fillId="2" borderId="63" xfId="22" applyFont="1" applyFill="1" applyBorder="1" applyAlignment="1">
      <alignment horizontal="center" vertical="center" wrapText="1"/>
    </xf>
    <xf numFmtId="9" fontId="13" fillId="2" borderId="63" xfId="0" applyNumberFormat="1" applyFont="1" applyFill="1" applyBorder="1" applyAlignment="1">
      <alignment horizontal="center" vertical="center" wrapText="1"/>
    </xf>
    <xf numFmtId="9" fontId="13" fillId="2" borderId="15" xfId="0" applyNumberFormat="1" applyFont="1" applyFill="1" applyBorder="1" applyAlignment="1">
      <alignment horizontal="center" vertical="center" wrapText="1"/>
    </xf>
    <xf numFmtId="9" fontId="45" fillId="19" borderId="66" xfId="22" applyFont="1" applyFill="1" applyBorder="1" applyAlignment="1">
      <alignment horizontal="center" vertical="center" wrapText="1"/>
    </xf>
    <xf numFmtId="9" fontId="93" fillId="24" borderId="66" xfId="28" applyNumberFormat="1" applyFont="1" applyFill="1" applyBorder="1" applyAlignment="1">
      <alignment horizontal="center" vertical="center" wrapText="1"/>
      <protection/>
    </xf>
    <xf numFmtId="9" fontId="93" fillId="24" borderId="66" xfId="22" applyFont="1" applyFill="1" applyBorder="1" applyAlignment="1">
      <alignment horizontal="center" vertical="center" wrapText="1"/>
    </xf>
    <xf numFmtId="9" fontId="45" fillId="27" borderId="66" xfId="22" applyFont="1" applyFill="1" applyBorder="1" applyAlignment="1">
      <alignment horizontal="center" vertical="center" wrapText="1"/>
    </xf>
    <xf numFmtId="9" fontId="45" fillId="24" borderId="66" xfId="22" applyFont="1" applyFill="1" applyBorder="1" applyAlignment="1">
      <alignment horizontal="center" vertical="center" wrapText="1"/>
    </xf>
    <xf numFmtId="9" fontId="45" fillId="27" borderId="66" xfId="28" applyNumberFormat="1" applyFont="1" applyFill="1" applyBorder="1" applyAlignment="1">
      <alignment horizontal="center" vertical="center" wrapText="1"/>
      <protection/>
    </xf>
    <xf numFmtId="9" fontId="18" fillId="27" borderId="66" xfId="28" applyNumberFormat="1" applyFont="1" applyFill="1" applyBorder="1" applyAlignment="1">
      <alignment horizontal="center" vertical="center" wrapText="1"/>
      <protection/>
    </xf>
    <xf numFmtId="0" fontId="53" fillId="23" borderId="66" xfId="28" applyFont="1" applyFill="1" applyBorder="1" applyAlignment="1">
      <alignment horizontal="center" vertical="center" wrapText="1"/>
      <protection/>
    </xf>
    <xf numFmtId="9" fontId="53" fillId="23" borderId="66" xfId="22" applyFont="1" applyFill="1" applyBorder="1" applyAlignment="1">
      <alignment horizontal="center" vertical="center" wrapText="1"/>
    </xf>
    <xf numFmtId="9" fontId="53" fillId="23" borderId="66" xfId="28" applyNumberFormat="1" applyFont="1" applyFill="1" applyBorder="1" applyAlignment="1">
      <alignment horizontal="center" vertical="center" wrapText="1"/>
      <protection/>
    </xf>
    <xf numFmtId="0" fontId="86" fillId="22" borderId="66" xfId="29" applyFont="1" applyFill="1" applyBorder="1" applyAlignment="1" applyProtection="1">
      <alignment horizontal="center" vertical="center" wrapText="1"/>
      <protection hidden="1"/>
    </xf>
    <xf numFmtId="9" fontId="86" fillId="22" borderId="66" xfId="22" applyFont="1" applyFill="1" applyBorder="1" applyAlignment="1" applyProtection="1">
      <alignment horizontal="center" vertical="center" wrapText="1"/>
      <protection hidden="1"/>
    </xf>
    <xf numFmtId="9" fontId="86" fillId="22" borderId="66" xfId="29" applyNumberFormat="1" applyFont="1" applyFill="1" applyBorder="1" applyAlignment="1" applyProtection="1">
      <alignment horizontal="center" vertical="center" wrapText="1"/>
      <protection hidden="1"/>
    </xf>
    <xf numFmtId="0" fontId="45" fillId="8" borderId="131" xfId="0" applyFont="1" applyFill="1" applyBorder="1" applyAlignment="1">
      <alignment horizontal="center" vertical="center" wrapText="1"/>
    </xf>
    <xf numFmtId="0" fontId="45" fillId="8" borderId="63" xfId="0" applyFont="1" applyFill="1" applyBorder="1" applyAlignment="1">
      <alignment horizontal="center" vertical="center" wrapText="1"/>
    </xf>
    <xf numFmtId="9" fontId="45" fillId="8" borderId="131" xfId="22" applyFont="1" applyFill="1" applyBorder="1" applyAlignment="1">
      <alignment horizontal="center" vertical="center" wrapText="1"/>
    </xf>
    <xf numFmtId="9" fontId="45" fillId="8" borderId="63" xfId="22" applyFont="1" applyFill="1" applyBorder="1" applyAlignment="1">
      <alignment horizontal="center" vertical="center" wrapText="1"/>
    </xf>
    <xf numFmtId="0" fontId="45" fillId="8" borderId="130" xfId="0" applyFont="1" applyFill="1" applyBorder="1" applyAlignment="1">
      <alignment horizontal="center" vertical="center" wrapText="1"/>
    </xf>
    <xf numFmtId="9" fontId="45" fillId="8" borderId="130" xfId="22" applyFont="1" applyFill="1" applyBorder="1" applyAlignment="1">
      <alignment horizontal="center" vertical="center" wrapText="1"/>
    </xf>
    <xf numFmtId="9" fontId="43" fillId="9" borderId="124" xfId="22" applyFont="1" applyFill="1" applyBorder="1" applyAlignment="1">
      <alignment horizontal="center" vertical="center" wrapText="1"/>
    </xf>
    <xf numFmtId="9" fontId="43" fillId="7" borderId="12" xfId="22" applyFont="1" applyFill="1" applyBorder="1" applyAlignment="1">
      <alignment horizontal="center" vertical="center" wrapText="1"/>
    </xf>
    <xf numFmtId="9" fontId="17" fillId="9" borderId="124" xfId="22" applyFont="1" applyFill="1" applyBorder="1" applyAlignment="1">
      <alignment horizontal="center" vertical="center" wrapText="1"/>
    </xf>
    <xf numFmtId="9" fontId="6" fillId="9" borderId="124" xfId="22" applyFont="1" applyFill="1" applyBorder="1" applyAlignment="1">
      <alignment horizontal="center" vertical="center" wrapText="1"/>
    </xf>
    <xf numFmtId="9" fontId="17" fillId="7" borderId="12" xfId="22" applyFont="1" applyFill="1" applyBorder="1" applyAlignment="1">
      <alignment horizontal="center" vertical="center" wrapText="1"/>
    </xf>
    <xf numFmtId="9" fontId="86" fillId="10" borderId="63" xfId="22" applyFont="1" applyFill="1" applyBorder="1" applyAlignment="1" applyProtection="1">
      <alignment horizontal="center" vertical="center" wrapText="1"/>
      <protection hidden="1"/>
    </xf>
    <xf numFmtId="0" fontId="86" fillId="10" borderId="63" xfId="29" applyFont="1" applyFill="1" applyBorder="1" applyAlignment="1" applyProtection="1">
      <alignment horizontal="center" vertical="center" wrapText="1"/>
      <protection hidden="1"/>
    </xf>
    <xf numFmtId="9" fontId="86" fillId="10" borderId="63" xfId="29" applyNumberFormat="1" applyFont="1" applyFill="1" applyBorder="1" applyAlignment="1" applyProtection="1">
      <alignment horizontal="center" vertical="center" wrapText="1"/>
      <protection hidden="1"/>
    </xf>
    <xf numFmtId="0" fontId="93" fillId="24" borderId="66" xfId="28" applyFont="1" applyFill="1" applyBorder="1" applyAlignment="1">
      <alignment horizontal="center" vertical="center" wrapText="1"/>
      <protection/>
    </xf>
    <xf numFmtId="0" fontId="93" fillId="27" borderId="66" xfId="28" applyFont="1" applyFill="1" applyBorder="1" applyAlignment="1">
      <alignment horizontal="center" vertical="center" wrapText="1"/>
      <protection/>
    </xf>
    <xf numFmtId="9" fontId="45" fillId="19" borderId="66" xfId="29" applyNumberFormat="1" applyFont="1" applyFill="1" applyBorder="1" applyAlignment="1" applyProtection="1">
      <alignment horizontal="center" vertical="center" wrapText="1"/>
      <protection hidden="1"/>
    </xf>
    <xf numFmtId="176" fontId="45" fillId="19" borderId="66" xfId="20" applyNumberFormat="1" applyFont="1" applyFill="1" applyBorder="1" applyAlignment="1">
      <alignment horizontal="center" vertical="center" wrapText="1"/>
    </xf>
    <xf numFmtId="176" fontId="93" fillId="24" borderId="66" xfId="20" applyNumberFormat="1" applyFont="1" applyFill="1" applyBorder="1" applyAlignment="1">
      <alignment horizontal="center" vertical="center" wrapText="1"/>
    </xf>
    <xf numFmtId="176" fontId="45" fillId="19" borderId="66" xfId="20" applyNumberFormat="1" applyFont="1" applyFill="1" applyBorder="1" applyAlignment="1" applyProtection="1">
      <alignment horizontal="center" vertical="center" wrapText="1"/>
      <protection hidden="1"/>
    </xf>
    <xf numFmtId="9" fontId="45" fillId="19" borderId="66" xfId="22" applyFont="1" applyFill="1" applyBorder="1" applyAlignment="1" applyProtection="1">
      <alignment horizontal="center" vertical="center" wrapText="1"/>
      <protection hidden="1"/>
    </xf>
    <xf numFmtId="9" fontId="93" fillId="24" borderId="66" xfId="22" applyFont="1" applyFill="1" applyBorder="1" applyAlignment="1">
      <alignment horizontal="center" vertical="center" wrapText="1"/>
    </xf>
    <xf numFmtId="9" fontId="93" fillId="27" borderId="66" xfId="22" applyFont="1" applyFill="1" applyBorder="1" applyAlignment="1">
      <alignment horizontal="center" vertical="center" wrapText="1"/>
    </xf>
    <xf numFmtId="9" fontId="93" fillId="24" borderId="66" xfId="28" applyNumberFormat="1" applyFont="1" applyFill="1" applyBorder="1" applyAlignment="1">
      <alignment horizontal="center" vertical="center" wrapText="1"/>
      <protection/>
    </xf>
    <xf numFmtId="9" fontId="45" fillId="24" borderId="66" xfId="28" applyNumberFormat="1" applyFont="1" applyFill="1" applyBorder="1" applyAlignment="1">
      <alignment horizontal="center" vertical="center" wrapText="1"/>
      <protection/>
    </xf>
    <xf numFmtId="9" fontId="13" fillId="23" borderId="66" xfId="28" applyNumberFormat="1" applyFont="1" applyFill="1" applyBorder="1" applyAlignment="1">
      <alignment horizontal="center" vertical="center" wrapText="1"/>
      <protection/>
    </xf>
    <xf numFmtId="9" fontId="45" fillId="27" borderId="66" xfId="28" applyNumberFormat="1" applyFont="1" applyFill="1" applyBorder="1" applyAlignment="1">
      <alignment horizontal="center" vertical="center" wrapText="1"/>
      <protection/>
    </xf>
    <xf numFmtId="9" fontId="45" fillId="19" borderId="66" xfId="28" applyNumberFormat="1" applyFont="1" applyFill="1" applyBorder="1" applyAlignment="1">
      <alignment horizontal="center" vertical="center" wrapText="1"/>
      <protection/>
    </xf>
    <xf numFmtId="9" fontId="39" fillId="23" borderId="66" xfId="22" applyFont="1" applyFill="1" applyBorder="1" applyAlignment="1">
      <alignment horizontal="center" vertical="center" wrapText="1"/>
    </xf>
    <xf numFmtId="9" fontId="53" fillId="23" borderId="66" xfId="28" applyNumberFormat="1" applyFont="1" applyFill="1" applyBorder="1" applyAlignment="1">
      <alignment horizontal="center" vertical="center" wrapText="1"/>
      <protection/>
    </xf>
    <xf numFmtId="9" fontId="84" fillId="23" borderId="66" xfId="28" applyNumberFormat="1" applyFont="1" applyFill="1" applyBorder="1" applyAlignment="1">
      <alignment horizontal="center" vertical="center" wrapText="1"/>
      <protection/>
    </xf>
    <xf numFmtId="9" fontId="84" fillId="23" borderId="66" xfId="28" applyNumberFormat="1" applyFont="1" applyFill="1" applyBorder="1" applyAlignment="1">
      <alignment horizontal="center" vertical="center" wrapText="1"/>
      <protection/>
    </xf>
    <xf numFmtId="9" fontId="84" fillId="23" borderId="66" xfId="22" applyFont="1" applyFill="1" applyBorder="1" applyAlignment="1">
      <alignment horizontal="center" vertical="center" wrapText="1"/>
    </xf>
    <xf numFmtId="9" fontId="45" fillId="24" borderId="66" xfId="22" applyFont="1" applyFill="1" applyBorder="1" applyAlignment="1">
      <alignment horizontal="center" vertical="center" wrapText="1"/>
    </xf>
    <xf numFmtId="9" fontId="86" fillId="22" borderId="66" xfId="29" applyNumberFormat="1" applyFont="1" applyFill="1" applyBorder="1" applyAlignment="1" applyProtection="1">
      <alignment horizontal="center" vertical="center" wrapText="1"/>
      <protection hidden="1"/>
    </xf>
    <xf numFmtId="9" fontId="86" fillId="22" borderId="66" xfId="22" applyFont="1" applyFill="1" applyBorder="1" applyAlignment="1" applyProtection="1">
      <alignment horizontal="center" vertical="center" wrapText="1"/>
      <protection hidden="1"/>
    </xf>
    <xf numFmtId="0" fontId="45" fillId="39" borderId="63" xfId="29" applyFont="1" applyFill="1" applyBorder="1" applyAlignment="1" applyProtection="1">
      <alignment horizontal="center" vertical="center" wrapText="1"/>
      <protection hidden="1"/>
    </xf>
    <xf numFmtId="0" fontId="45" fillId="19" borderId="66" xfId="29" applyFont="1" applyFill="1" applyBorder="1" applyAlignment="1" applyProtection="1">
      <alignment horizontal="center" vertical="center" wrapText="1"/>
      <protection hidden="1"/>
    </xf>
    <xf numFmtId="0" fontId="93" fillId="40" borderId="66" xfId="28" applyFont="1" applyFill="1" applyBorder="1" applyAlignment="1">
      <alignment horizontal="center" vertical="center" wrapText="1"/>
      <protection/>
    </xf>
    <xf numFmtId="0" fontId="45" fillId="8" borderId="66" xfId="28" applyFont="1" applyFill="1" applyBorder="1" applyAlignment="1">
      <alignment horizontal="center" vertical="center" wrapText="1"/>
      <protection/>
    </xf>
    <xf numFmtId="9" fontId="45" fillId="39" borderId="63" xfId="22" applyFont="1" applyFill="1" applyBorder="1" applyAlignment="1" applyProtection="1">
      <alignment horizontal="center" vertical="center" wrapText="1"/>
      <protection hidden="1"/>
    </xf>
    <xf numFmtId="9" fontId="93" fillId="40" borderId="66" xfId="22" applyFont="1" applyFill="1" applyBorder="1" applyAlignment="1">
      <alignment horizontal="center" vertical="center" wrapText="1"/>
    </xf>
    <xf numFmtId="9" fontId="45" fillId="8" borderId="66" xfId="22" applyFont="1" applyFill="1" applyBorder="1" applyAlignment="1">
      <alignment horizontal="center" vertical="center" wrapText="1"/>
    </xf>
    <xf numFmtId="9" fontId="33" fillId="24" borderId="66" xfId="22" applyFont="1" applyFill="1" applyBorder="1" applyAlignment="1">
      <alignment horizontal="center" vertical="center" wrapText="1"/>
    </xf>
    <xf numFmtId="9" fontId="53" fillId="23" borderId="66" xfId="22" applyFont="1" applyFill="1" applyBorder="1" applyAlignment="1">
      <alignment horizontal="center" vertical="center" wrapText="1"/>
    </xf>
    <xf numFmtId="0" fontId="45" fillId="39" borderId="63" xfId="28" applyFont="1" applyFill="1" applyBorder="1" applyAlignment="1">
      <alignment horizontal="center" vertical="center" wrapText="1"/>
      <protection/>
    </xf>
    <xf numFmtId="0" fontId="94" fillId="8" borderId="63" xfId="28" applyFont="1" applyFill="1" applyBorder="1" applyAlignment="1">
      <alignment horizontal="center" vertical="center" wrapText="1"/>
      <protection/>
    </xf>
    <xf numFmtId="0" fontId="94" fillId="40" borderId="66" xfId="28" applyFont="1" applyFill="1" applyBorder="1" applyAlignment="1">
      <alignment horizontal="center" vertical="center" wrapText="1"/>
      <protection/>
    </xf>
    <xf numFmtId="0" fontId="87" fillId="8" borderId="66" xfId="28" applyFont="1" applyFill="1" applyBorder="1" applyAlignment="1">
      <alignment horizontal="center" vertical="center" wrapText="1"/>
      <protection/>
    </xf>
    <xf numFmtId="0" fontId="44" fillId="42" borderId="63" xfId="29" applyFont="1" applyFill="1" applyBorder="1" applyAlignment="1" applyProtection="1">
      <alignment horizontal="center" vertical="center" wrapText="1"/>
      <protection hidden="1"/>
    </xf>
    <xf numFmtId="9" fontId="33" fillId="24" borderId="94" xfId="22" applyFont="1" applyFill="1" applyBorder="1" applyAlignment="1">
      <alignment horizontal="center" vertical="center" wrapText="1"/>
    </xf>
    <xf numFmtId="9" fontId="33" fillId="7" borderId="66" xfId="22" applyFont="1" applyFill="1" applyBorder="1" applyAlignment="1">
      <alignment horizontal="center" vertical="center" wrapText="1"/>
    </xf>
    <xf numFmtId="9" fontId="50" fillId="24" borderId="66" xfId="22" applyFont="1" applyFill="1" applyBorder="1" applyAlignment="1">
      <alignment horizontal="center" vertical="center" wrapText="1"/>
    </xf>
    <xf numFmtId="9" fontId="84" fillId="23" borderId="66" xfId="22" applyFont="1" applyFill="1" applyBorder="1" applyAlignment="1">
      <alignment horizontal="center" vertical="center" wrapText="1"/>
    </xf>
    <xf numFmtId="0" fontId="51" fillId="8" borderId="63" xfId="28" applyFont="1" applyFill="1" applyBorder="1" applyAlignment="1">
      <alignment horizontal="center" vertical="center" wrapText="1"/>
      <protection/>
    </xf>
    <xf numFmtId="9" fontId="45" fillId="39" borderId="63" xfId="22" applyFont="1" applyFill="1" applyBorder="1" applyAlignment="1">
      <alignment horizontal="center" vertical="center" wrapText="1"/>
    </xf>
    <xf numFmtId="9" fontId="45" fillId="40" borderId="66" xfId="22" applyFont="1" applyFill="1" applyBorder="1" applyAlignment="1">
      <alignment horizontal="center" vertical="center" wrapText="1"/>
    </xf>
    <xf numFmtId="9" fontId="33" fillId="24" borderId="94" xfId="28" applyNumberFormat="1" applyFont="1" applyFill="1" applyBorder="1" applyAlignment="1">
      <alignment horizontal="center" vertical="center" wrapText="1"/>
      <protection/>
    </xf>
    <xf numFmtId="0" fontId="24" fillId="18" borderId="76" xfId="29" applyFont="1" applyFill="1" applyBorder="1" applyAlignment="1" applyProtection="1">
      <alignment horizontal="center" vertical="center" wrapText="1"/>
      <protection hidden="1"/>
    </xf>
    <xf numFmtId="0" fontId="24" fillId="18" borderId="92" xfId="29" applyFont="1" applyFill="1" applyBorder="1" applyAlignment="1" applyProtection="1">
      <alignment horizontal="center" vertical="center" wrapText="1"/>
      <protection hidden="1"/>
    </xf>
    <xf numFmtId="9" fontId="33" fillId="24" borderId="66" xfId="28" applyNumberFormat="1" applyFont="1" applyFill="1" applyBorder="1" applyAlignment="1">
      <alignment horizontal="center" vertical="center" wrapText="1"/>
      <protection/>
    </xf>
    <xf numFmtId="9" fontId="33" fillId="24" borderId="66" xfId="28" applyNumberFormat="1" applyFont="1" applyFill="1" applyBorder="1" applyAlignment="1">
      <alignment horizontal="center" vertical="center" wrapText="1"/>
      <protection/>
    </xf>
    <xf numFmtId="9" fontId="50" fillId="7" borderId="66" xfId="28" applyNumberFormat="1" applyFont="1" applyFill="1" applyBorder="1" applyAlignment="1">
      <alignment horizontal="center" vertical="center" wrapText="1"/>
      <protection/>
    </xf>
    <xf numFmtId="9" fontId="11" fillId="22" borderId="66" xfId="22" applyFont="1" applyFill="1" applyBorder="1" applyAlignment="1" applyProtection="1">
      <alignment horizontal="center" vertical="center" wrapText="1"/>
      <protection hidden="1"/>
    </xf>
    <xf numFmtId="9" fontId="50" fillId="24" borderId="94" xfId="28" applyNumberFormat="1" applyFont="1" applyFill="1" applyBorder="1" applyAlignment="1">
      <alignment horizontal="center" vertical="center" wrapText="1"/>
      <protection/>
    </xf>
    <xf numFmtId="9" fontId="50" fillId="24" borderId="66" xfId="28" applyNumberFormat="1" applyFont="1" applyFill="1" applyBorder="1" applyAlignment="1">
      <alignment horizontal="center" vertical="center" wrapText="1"/>
      <protection/>
    </xf>
    <xf numFmtId="9" fontId="50" fillId="24" borderId="66" xfId="28" applyNumberFormat="1" applyFont="1" applyFill="1" applyBorder="1" applyAlignment="1">
      <alignment horizontal="center" vertical="center" wrapText="1"/>
      <protection/>
    </xf>
    <xf numFmtId="9" fontId="11" fillId="7" borderId="66" xfId="28" applyNumberFormat="1" applyFont="1" applyFill="1" applyBorder="1" applyAlignment="1">
      <alignment horizontal="center" vertical="center" wrapText="1"/>
      <protection/>
    </xf>
    <xf numFmtId="0" fontId="1" fillId="43" borderId="3" xfId="29" applyFont="1" applyFill="1" applyBorder="1" applyAlignment="1" applyProtection="1">
      <alignment horizontal="center" vertical="center" wrapText="1"/>
      <protection hidden="1"/>
    </xf>
    <xf numFmtId="44" fontId="20" fillId="8" borderId="1" xfId="21" applyFont="1" applyFill="1" applyBorder="1" applyAlignment="1">
      <alignment horizontal="center" vertical="center" wrapText="1"/>
    </xf>
    <xf numFmtId="44" fontId="20" fillId="8" borderId="6" xfId="21" applyFont="1" applyFill="1" applyBorder="1" applyAlignment="1">
      <alignment horizontal="center" vertical="center" wrapText="1"/>
    </xf>
    <xf numFmtId="44" fontId="45" fillId="39" borderId="63" xfId="21" applyFont="1" applyFill="1" applyBorder="1" applyAlignment="1" applyProtection="1">
      <alignment horizontal="center" vertical="center" wrapText="1"/>
      <protection hidden="1"/>
    </xf>
    <xf numFmtId="44" fontId="45" fillId="19" borderId="66" xfId="21" applyFont="1" applyFill="1" applyBorder="1" applyAlignment="1" applyProtection="1">
      <alignment horizontal="center" vertical="center" wrapText="1"/>
      <protection hidden="1"/>
    </xf>
    <xf numFmtId="44" fontId="45" fillId="8" borderId="66" xfId="21" applyFont="1" applyFill="1" applyBorder="1" applyAlignment="1">
      <alignment horizontal="center" vertical="center" wrapText="1"/>
    </xf>
    <xf numFmtId="44" fontId="43" fillId="8" borderId="1" xfId="21" applyFont="1" applyFill="1" applyBorder="1" applyAlignment="1" applyProtection="1">
      <alignment horizontal="center" vertical="center" wrapText="1"/>
      <protection hidden="1"/>
    </xf>
    <xf numFmtId="44" fontId="45" fillId="8" borderId="1" xfId="21" applyFont="1" applyFill="1" applyBorder="1" applyAlignment="1">
      <alignment horizontal="center" vertical="center" wrapText="1"/>
    </xf>
    <xf numFmtId="44" fontId="45" fillId="8" borderId="1" xfId="21" applyFont="1" applyFill="1" applyBorder="1" applyAlignment="1" applyProtection="1">
      <alignment horizontal="center" vertical="center" wrapText="1"/>
      <protection locked="0"/>
    </xf>
    <xf numFmtId="44" fontId="45" fillId="19" borderId="66" xfId="21" applyFont="1" applyFill="1" applyBorder="1" applyAlignment="1">
      <alignment horizontal="center" vertical="center" wrapText="1"/>
    </xf>
    <xf numFmtId="0" fontId="31" fillId="19" borderId="66" xfId="28" applyFont="1" applyFill="1" applyBorder="1" applyAlignment="1">
      <alignment horizontal="center" vertical="center" wrapText="1"/>
      <protection/>
    </xf>
    <xf numFmtId="44" fontId="45" fillId="19" borderId="66" xfId="21" applyFont="1" applyFill="1" applyBorder="1" applyAlignment="1" applyProtection="1">
      <alignment horizontal="center" vertical="center" wrapText="1"/>
      <protection hidden="1"/>
    </xf>
    <xf numFmtId="44" fontId="45" fillId="8" borderId="63" xfId="21" applyFont="1" applyFill="1" applyBorder="1" applyAlignment="1">
      <alignment horizontal="center" vertical="center" wrapText="1"/>
    </xf>
    <xf numFmtId="44" fontId="20" fillId="8" borderId="131" xfId="21" applyFont="1" applyFill="1" applyBorder="1" applyAlignment="1">
      <alignment horizontal="center" vertical="center" wrapText="1"/>
    </xf>
    <xf numFmtId="44" fontId="45" fillId="8" borderId="131" xfId="2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1" xfId="0" applyFont="1" applyFill="1" applyBorder="1" applyAlignment="1">
      <alignment horizontal="center" vertical="center" wrapText="1"/>
    </xf>
    <xf numFmtId="9" fontId="20" fillId="8" borderId="1" xfId="0" applyNumberFormat="1" applyFont="1" applyFill="1" applyBorder="1" applyAlignment="1">
      <alignment horizontal="center" vertical="center" wrapText="1"/>
    </xf>
    <xf numFmtId="0" fontId="1" fillId="5" borderId="76" xfId="28" applyFont="1" applyFill="1" applyBorder="1" applyAlignment="1">
      <alignment horizontal="center" vertical="center" wrapText="1"/>
      <protection/>
    </xf>
    <xf numFmtId="9" fontId="6" fillId="7" borderId="1"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166" fontId="17" fillId="7" borderId="15" xfId="0" applyNumberFormat="1" applyFont="1" applyFill="1" applyBorder="1" applyAlignment="1">
      <alignment horizontal="center" vertical="center" wrapText="1"/>
    </xf>
    <xf numFmtId="0" fontId="17" fillId="7" borderId="35"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33" fillId="24" borderId="66" xfId="28" applyFont="1" applyFill="1" applyBorder="1" applyAlignment="1">
      <alignment horizontal="center" vertical="center" wrapText="1"/>
      <protection/>
    </xf>
    <xf numFmtId="0" fontId="51" fillId="8" borderId="63" xfId="28" applyFont="1" applyFill="1" applyBorder="1" applyAlignment="1">
      <alignment horizontal="center" vertical="center" wrapText="1"/>
      <protection/>
    </xf>
    <xf numFmtId="0" fontId="13" fillId="2" borderId="1" xfId="0" applyFont="1" applyFill="1" applyBorder="1" applyAlignment="1">
      <alignment horizontal="center" vertical="center" wrapText="1"/>
    </xf>
    <xf numFmtId="0" fontId="0" fillId="0" borderId="0" xfId="0" applyAlignment="1">
      <alignment horizontal="center" vertical="center"/>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53" fillId="23" borderId="66" xfId="28" applyFont="1" applyFill="1" applyBorder="1" applyAlignment="1">
      <alignment horizontal="center" vertical="center" wrapText="1"/>
      <protection/>
    </xf>
    <xf numFmtId="0" fontId="17" fillId="7"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9" fontId="20" fillId="41" borderId="1" xfId="22" applyFont="1" applyFill="1" applyBorder="1" applyAlignment="1">
      <alignment horizontal="center" vertical="center" wrapText="1"/>
    </xf>
    <xf numFmtId="0" fontId="20" fillId="41" borderId="1" xfId="0" applyFont="1" applyFill="1" applyBorder="1" applyAlignment="1">
      <alignment horizontal="center" vertical="center" wrapText="1"/>
    </xf>
    <xf numFmtId="44" fontId="20" fillId="41" borderId="1" xfId="21" applyFont="1" applyFill="1" applyBorder="1" applyAlignment="1">
      <alignment horizontal="center" vertical="center" wrapText="1"/>
    </xf>
    <xf numFmtId="0" fontId="45" fillId="41" borderId="1" xfId="0" applyFont="1" applyFill="1" applyBorder="1" applyAlignment="1">
      <alignment horizontal="center" vertical="center" wrapText="1"/>
    </xf>
    <xf numFmtId="9" fontId="20" fillId="41" borderId="6" xfId="22" applyFont="1" applyFill="1" applyBorder="1" applyAlignment="1">
      <alignment horizontal="center" vertical="center" wrapText="1"/>
    </xf>
    <xf numFmtId="0" fontId="20" fillId="41" borderId="6" xfId="0" applyFont="1" applyFill="1" applyBorder="1" applyAlignment="1">
      <alignment horizontal="center" vertical="center" wrapText="1"/>
    </xf>
    <xf numFmtId="0" fontId="45" fillId="41" borderId="6" xfId="0" applyFont="1" applyFill="1" applyBorder="1" applyAlignment="1">
      <alignment horizontal="center" vertical="center" wrapText="1"/>
    </xf>
    <xf numFmtId="44" fontId="20" fillId="41" borderId="6" xfId="21" applyFont="1" applyFill="1" applyBorder="1" applyAlignment="1">
      <alignment horizontal="center" vertical="center" wrapText="1"/>
    </xf>
    <xf numFmtId="0" fontId="45" fillId="44" borderId="63" xfId="29" applyFont="1" applyFill="1" applyBorder="1" applyAlignment="1" applyProtection="1">
      <alignment horizontal="center" vertical="center" wrapText="1"/>
      <protection hidden="1"/>
    </xf>
    <xf numFmtId="9" fontId="45" fillId="44" borderId="63" xfId="22" applyFont="1" applyFill="1" applyBorder="1" applyAlignment="1" applyProtection="1">
      <alignment horizontal="center" vertical="center" wrapText="1"/>
      <protection hidden="1"/>
    </xf>
    <xf numFmtId="44" fontId="45" fillId="44" borderId="63" xfId="21" applyFont="1" applyFill="1" applyBorder="1" applyAlignment="1" applyProtection="1">
      <alignment horizontal="center" vertical="center" wrapText="1"/>
      <protection hidden="1"/>
    </xf>
    <xf numFmtId="0" fontId="51" fillId="41" borderId="63" xfId="28" applyFont="1" applyFill="1" applyBorder="1" applyAlignment="1">
      <alignment horizontal="center" vertical="center" wrapText="1"/>
      <protection/>
    </xf>
    <xf numFmtId="0" fontId="94" fillId="41" borderId="63" xfId="28" applyFont="1" applyFill="1" applyBorder="1" applyAlignment="1">
      <alignment horizontal="center" vertical="center" wrapText="1"/>
      <protection/>
    </xf>
    <xf numFmtId="0" fontId="45" fillId="44" borderId="63" xfId="28" applyFont="1" applyFill="1" applyBorder="1" applyAlignment="1">
      <alignment horizontal="center" vertical="center" wrapText="1"/>
      <protection/>
    </xf>
    <xf numFmtId="9" fontId="45" fillId="44" borderId="63" xfId="22" applyFont="1" applyFill="1" applyBorder="1" applyAlignment="1">
      <alignment horizontal="center" vertical="center" wrapText="1"/>
    </xf>
    <xf numFmtId="0" fontId="45" fillId="44" borderId="66" xfId="29" applyFont="1" applyFill="1" applyBorder="1" applyAlignment="1" applyProtection="1">
      <alignment horizontal="center" vertical="center" wrapText="1"/>
      <protection hidden="1"/>
    </xf>
    <xf numFmtId="9" fontId="45" fillId="44" borderId="66" xfId="22" applyFont="1" applyFill="1" applyBorder="1" applyAlignment="1" applyProtection="1">
      <alignment horizontal="center" vertical="center" wrapText="1"/>
      <protection hidden="1"/>
    </xf>
    <xf numFmtId="44" fontId="45" fillId="44" borderId="66" xfId="21" applyFont="1" applyFill="1" applyBorder="1" applyAlignment="1" applyProtection="1">
      <alignment horizontal="center" vertical="center" wrapText="1"/>
      <protection hidden="1"/>
    </xf>
    <xf numFmtId="0" fontId="87" fillId="44" borderId="66" xfId="29" applyFont="1" applyFill="1" applyBorder="1" applyAlignment="1" applyProtection="1">
      <alignment horizontal="center" vertical="center" wrapText="1"/>
      <protection hidden="1"/>
    </xf>
    <xf numFmtId="0" fontId="93" fillId="45" borderId="66" xfId="28" applyFont="1" applyFill="1" applyBorder="1" applyAlignment="1">
      <alignment horizontal="center" vertical="center" wrapText="1"/>
      <protection/>
    </xf>
    <xf numFmtId="9" fontId="93" fillId="45" borderId="66" xfId="22" applyFont="1" applyFill="1" applyBorder="1" applyAlignment="1">
      <alignment horizontal="center" vertical="center" wrapText="1"/>
    </xf>
    <xf numFmtId="0" fontId="51" fillId="45" borderId="66" xfId="28" applyFont="1" applyFill="1" applyBorder="1" applyAlignment="1">
      <alignment horizontal="center" vertical="center" wrapText="1"/>
      <protection/>
    </xf>
    <xf numFmtId="9" fontId="45" fillId="45" borderId="66" xfId="22" applyFont="1" applyFill="1" applyBorder="1" applyAlignment="1">
      <alignment horizontal="center" vertical="center" wrapText="1"/>
    </xf>
    <xf numFmtId="0" fontId="94" fillId="45" borderId="66" xfId="28" applyFont="1" applyFill="1" applyBorder="1" applyAlignment="1">
      <alignment horizontal="center" vertical="center" wrapText="1"/>
      <protection/>
    </xf>
    <xf numFmtId="0" fontId="45" fillId="41" borderId="66" xfId="28" applyFont="1" applyFill="1" applyBorder="1" applyAlignment="1">
      <alignment horizontal="center" vertical="center" wrapText="1"/>
      <protection/>
    </xf>
    <xf numFmtId="9" fontId="45" fillId="41" borderId="66" xfId="22" applyFont="1" applyFill="1" applyBorder="1" applyAlignment="1">
      <alignment horizontal="center" vertical="center" wrapText="1"/>
    </xf>
    <xf numFmtId="44" fontId="45" fillId="41" borderId="66" xfId="21" applyFont="1" applyFill="1" applyBorder="1" applyAlignment="1">
      <alignment horizontal="center" vertical="center" wrapText="1"/>
    </xf>
    <xf numFmtId="0" fontId="87" fillId="41" borderId="66" xfId="28" applyFont="1" applyFill="1" applyBorder="1" applyAlignment="1">
      <alignment horizontal="center" vertical="center" wrapText="1"/>
      <protection/>
    </xf>
    <xf numFmtId="0" fontId="15" fillId="41" borderId="1" xfId="23" applyFont="1" applyFill="1" applyBorder="1" applyAlignment="1" applyProtection="1">
      <alignment horizontal="center" vertical="center" wrapText="1"/>
      <protection hidden="1"/>
    </xf>
    <xf numFmtId="9" fontId="15" fillId="41" borderId="1" xfId="22" applyFont="1" applyFill="1" applyBorder="1" applyAlignment="1" applyProtection="1">
      <alignment horizontal="center" vertical="center" wrapText="1"/>
      <protection hidden="1"/>
    </xf>
    <xf numFmtId="0" fontId="44" fillId="41" borderId="1" xfId="23" applyFont="1" applyFill="1" applyBorder="1" applyAlignment="1" applyProtection="1">
      <alignment horizontal="center" vertical="center" wrapText="1"/>
      <protection hidden="1"/>
    </xf>
    <xf numFmtId="0" fontId="43" fillId="41" borderId="1" xfId="23" applyFont="1" applyFill="1" applyBorder="1" applyAlignment="1" applyProtection="1">
      <alignment horizontal="center" vertical="center" wrapText="1"/>
      <protection hidden="1"/>
    </xf>
    <xf numFmtId="9" fontId="43" fillId="41" borderId="1" xfId="22" applyFont="1" applyFill="1" applyBorder="1" applyAlignment="1" applyProtection="1">
      <alignment horizontal="center" vertical="center" wrapText="1"/>
      <protection hidden="1"/>
    </xf>
    <xf numFmtId="44" fontId="43" fillId="41" borderId="1" xfId="21" applyFont="1" applyFill="1" applyBorder="1" applyAlignment="1" applyProtection="1">
      <alignment horizontal="center" vertical="center" wrapText="1"/>
      <protection hidden="1"/>
    </xf>
    <xf numFmtId="0" fontId="43" fillId="41" borderId="1" xfId="0" applyFont="1" applyFill="1" applyBorder="1" applyAlignment="1">
      <alignment horizontal="center" vertical="center" wrapText="1"/>
    </xf>
    <xf numFmtId="0" fontId="35" fillId="41" borderId="1" xfId="0" applyFont="1" applyFill="1" applyBorder="1" applyAlignment="1">
      <alignment horizontal="center" vertical="center" wrapText="1"/>
    </xf>
    <xf numFmtId="0" fontId="44" fillId="41" borderId="1" xfId="0" applyFont="1" applyFill="1" applyBorder="1" applyAlignment="1">
      <alignment horizontal="center" vertical="center" wrapText="1"/>
    </xf>
    <xf numFmtId="9" fontId="45" fillId="41" borderId="1" xfId="22" applyFont="1" applyFill="1" applyBorder="1" applyAlignment="1">
      <alignment horizontal="center" vertical="center" wrapText="1"/>
    </xf>
    <xf numFmtId="9" fontId="31" fillId="41" borderId="1" xfId="22" applyFont="1" applyFill="1" applyBorder="1" applyAlignment="1">
      <alignment horizontal="center" vertical="center" wrapText="1"/>
    </xf>
    <xf numFmtId="44" fontId="45" fillId="41" borderId="1" xfId="21" applyFont="1" applyFill="1" applyBorder="1" applyAlignment="1">
      <alignment horizontal="center" vertical="center" wrapText="1"/>
    </xf>
    <xf numFmtId="0" fontId="87" fillId="41" borderId="1" xfId="0" applyFont="1" applyFill="1" applyBorder="1" applyAlignment="1">
      <alignment horizontal="center" vertical="center" wrapText="1"/>
    </xf>
    <xf numFmtId="0" fontId="45" fillId="41" borderId="1" xfId="23" applyFont="1" applyFill="1" applyBorder="1" applyAlignment="1" applyProtection="1">
      <alignment horizontal="center" vertical="center" wrapText="1"/>
      <protection hidden="1"/>
    </xf>
    <xf numFmtId="0" fontId="31" fillId="41" borderId="1" xfId="0" applyFont="1" applyFill="1" applyBorder="1" applyAlignment="1">
      <alignment horizontal="center" vertical="center" wrapText="1"/>
    </xf>
    <xf numFmtId="9" fontId="45" fillId="41" borderId="1" xfId="22" applyFont="1" applyFill="1" applyBorder="1" applyAlignment="1" applyProtection="1">
      <alignment horizontal="center" vertical="center" wrapText="1"/>
      <protection locked="0"/>
    </xf>
    <xf numFmtId="44" fontId="45" fillId="41" borderId="1" xfId="21" applyFont="1" applyFill="1" applyBorder="1" applyAlignment="1" applyProtection="1">
      <alignment horizontal="center" vertical="center" wrapText="1"/>
      <protection locked="0"/>
    </xf>
    <xf numFmtId="0" fontId="87" fillId="41" borderId="1" xfId="0" applyFont="1" applyFill="1" applyBorder="1" applyAlignment="1" applyProtection="1">
      <alignment horizontal="center" vertical="center" wrapText="1"/>
      <protection locked="0"/>
    </xf>
    <xf numFmtId="9" fontId="45" fillId="41" borderId="1" xfId="0" applyNumberFormat="1" applyFont="1" applyFill="1" applyBorder="1" applyAlignment="1">
      <alignment horizontal="center" vertical="center" wrapText="1"/>
    </xf>
    <xf numFmtId="0" fontId="45" fillId="41" borderId="1" xfId="0" applyFont="1" applyFill="1" applyBorder="1" applyAlignment="1" applyProtection="1">
      <alignment horizontal="center" vertical="center" wrapText="1"/>
      <protection hidden="1"/>
    </xf>
    <xf numFmtId="9" fontId="45" fillId="41" borderId="1" xfId="22" applyFont="1" applyFill="1" applyBorder="1" applyAlignment="1" applyProtection="1">
      <alignment horizontal="center" vertical="center" wrapText="1"/>
      <protection hidden="1"/>
    </xf>
    <xf numFmtId="0" fontId="87" fillId="41" borderId="1" xfId="23" applyFont="1" applyFill="1" applyBorder="1" applyAlignment="1" applyProtection="1">
      <alignment horizontal="center" vertical="center" wrapText="1"/>
      <protection locked="0"/>
    </xf>
    <xf numFmtId="0" fontId="87" fillId="41" borderId="1" xfId="23" applyFont="1" applyFill="1" applyBorder="1" applyAlignment="1" applyProtection="1">
      <alignment horizontal="center" vertical="center" wrapText="1"/>
      <protection hidden="1"/>
    </xf>
    <xf numFmtId="178" fontId="45" fillId="41" borderId="1" xfId="21" applyNumberFormat="1" applyFont="1" applyFill="1" applyBorder="1" applyAlignment="1" applyProtection="1">
      <alignment horizontal="center" vertical="center" wrapText="1"/>
      <protection locked="0"/>
    </xf>
    <xf numFmtId="167" fontId="45" fillId="41" borderId="1" xfId="22" applyNumberFormat="1" applyFont="1" applyFill="1" applyBorder="1" applyAlignment="1">
      <alignment horizontal="center" vertical="center" wrapText="1"/>
    </xf>
    <xf numFmtId="0" fontId="45" fillId="41" borderId="1" xfId="0" applyFont="1" applyFill="1" applyBorder="1" applyAlignment="1" applyProtection="1">
      <alignment horizontal="center" vertical="center" wrapText="1"/>
      <protection locked="0"/>
    </xf>
    <xf numFmtId="176" fontId="45" fillId="44" borderId="66" xfId="20" applyNumberFormat="1" applyFont="1" applyFill="1" applyBorder="1" applyAlignment="1">
      <alignment horizontal="center" vertical="center" wrapText="1"/>
    </xf>
    <xf numFmtId="9" fontId="45" fillId="44" borderId="66" xfId="22" applyFont="1" applyFill="1" applyBorder="1" applyAlignment="1">
      <alignment horizontal="center" vertical="center" wrapText="1"/>
    </xf>
    <xf numFmtId="0" fontId="45" fillId="44" borderId="66" xfId="28" applyFont="1" applyFill="1" applyBorder="1" applyAlignment="1">
      <alignment horizontal="center" vertical="center" wrapText="1"/>
      <protection/>
    </xf>
    <xf numFmtId="0" fontId="21" fillId="44" borderId="66" xfId="28" applyFont="1" applyFill="1" applyBorder="1" applyAlignment="1">
      <alignment horizontal="center" vertical="center" wrapText="1"/>
      <protection/>
    </xf>
    <xf numFmtId="44" fontId="45" fillId="44" borderId="66" xfId="21" applyFont="1" applyFill="1" applyBorder="1" applyAlignment="1">
      <alignment horizontal="center" vertical="center" wrapText="1"/>
    </xf>
    <xf numFmtId="0" fontId="31" fillId="44" borderId="66" xfId="28" applyFont="1" applyFill="1" applyBorder="1" applyAlignment="1">
      <alignment horizontal="center" vertical="center" wrapText="1"/>
      <protection/>
    </xf>
    <xf numFmtId="0" fontId="87" fillId="44" borderId="66" xfId="28" applyFont="1" applyFill="1" applyBorder="1" applyAlignment="1">
      <alignment horizontal="center" vertical="center" wrapText="1"/>
      <protection/>
    </xf>
    <xf numFmtId="0" fontId="45" fillId="44" borderId="66" xfId="29" applyFont="1" applyFill="1" applyBorder="1" applyAlignment="1" applyProtection="1">
      <alignment horizontal="center" vertical="center" wrapText="1"/>
      <protection hidden="1"/>
    </xf>
    <xf numFmtId="0" fontId="52" fillId="44" borderId="66" xfId="29" applyFont="1" applyFill="1" applyBorder="1" applyAlignment="1" applyProtection="1">
      <alignment horizontal="center" vertical="center" wrapText="1"/>
      <protection hidden="1"/>
    </xf>
    <xf numFmtId="176" fontId="45" fillId="44" borderId="66" xfId="20" applyNumberFormat="1" applyFont="1" applyFill="1" applyBorder="1" applyAlignment="1" applyProtection="1">
      <alignment horizontal="center" vertical="center" wrapText="1"/>
      <protection hidden="1"/>
    </xf>
    <xf numFmtId="44" fontId="45" fillId="44" borderId="66" xfId="21" applyFont="1" applyFill="1" applyBorder="1" applyAlignment="1" applyProtection="1">
      <alignment horizontal="center" vertical="center" wrapText="1"/>
      <protection hidden="1"/>
    </xf>
    <xf numFmtId="9" fontId="45" fillId="44" borderId="66" xfId="29" applyNumberFormat="1" applyFont="1" applyFill="1" applyBorder="1" applyAlignment="1" applyProtection="1">
      <alignment horizontal="center" vertical="center" wrapText="1"/>
      <protection hidden="1"/>
    </xf>
    <xf numFmtId="9" fontId="20" fillId="44" borderId="66" xfId="22" applyFont="1" applyFill="1" applyBorder="1" applyAlignment="1" applyProtection="1">
      <alignment horizontal="center" vertical="center" wrapText="1"/>
      <protection hidden="1"/>
    </xf>
    <xf numFmtId="0" fontId="20" fillId="44" borderId="66" xfId="28" applyFont="1" applyFill="1" applyBorder="1" applyAlignment="1">
      <alignment horizontal="center" vertical="center" wrapText="1"/>
      <protection/>
    </xf>
    <xf numFmtId="9" fontId="45" fillId="44" borderId="66" xfId="28" applyNumberFormat="1" applyFont="1" applyFill="1" applyBorder="1" applyAlignment="1">
      <alignment horizontal="center" vertical="center" wrapText="1"/>
      <protection/>
    </xf>
    <xf numFmtId="0" fontId="18" fillId="41" borderId="1" xfId="0" applyFont="1" applyFill="1" applyBorder="1" applyAlignment="1">
      <alignment horizontal="center" vertical="center" wrapText="1"/>
    </xf>
    <xf numFmtId="9" fontId="18" fillId="41" borderId="1" xfId="22" applyFont="1" applyFill="1" applyBorder="1" applyAlignment="1">
      <alignment horizontal="center" vertical="center" wrapText="1"/>
    </xf>
    <xf numFmtId="44" fontId="18" fillId="41" borderId="1" xfId="21" applyFont="1" applyFill="1" applyBorder="1" applyAlignment="1">
      <alignment horizontal="center" vertical="center" wrapText="1"/>
    </xf>
    <xf numFmtId="0" fontId="21" fillId="41" borderId="1" xfId="0" applyFont="1" applyFill="1" applyBorder="1" applyAlignment="1">
      <alignment horizontal="center" vertical="center" wrapText="1"/>
    </xf>
    <xf numFmtId="0" fontId="88" fillId="41" borderId="1" xfId="0" applyFont="1" applyFill="1" applyBorder="1" applyAlignment="1">
      <alignment horizontal="center" vertical="center" wrapText="1"/>
    </xf>
    <xf numFmtId="9" fontId="20" fillId="41" borderId="1" xfId="0" applyNumberFormat="1" applyFont="1" applyFill="1" applyBorder="1" applyAlignment="1">
      <alignment horizontal="center" vertical="center" wrapText="1"/>
    </xf>
    <xf numFmtId="0" fontId="90" fillId="41"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31" borderId="1" xfId="0" applyFont="1" applyFill="1" applyBorder="1" applyAlignment="1">
      <alignment horizontal="center" vertical="center" wrapText="1"/>
    </xf>
    <xf numFmtId="0" fontId="15" fillId="41" borderId="6" xfId="23" applyFont="1" applyFill="1" applyBorder="1" applyAlignment="1" applyProtection="1">
      <alignment horizontal="center" vertical="center" wrapText="1"/>
      <protection hidden="1"/>
    </xf>
    <xf numFmtId="0" fontId="1" fillId="8" borderId="8" xfId="0" applyFont="1" applyFill="1" applyBorder="1" applyAlignment="1">
      <alignment horizontal="center" vertical="center" wrapText="1"/>
    </xf>
    <xf numFmtId="0" fontId="1" fillId="41" borderId="63" xfId="0" applyFont="1" applyFill="1" applyBorder="1" applyAlignment="1">
      <alignment horizontal="center" vertical="center" wrapText="1"/>
    </xf>
    <xf numFmtId="0" fontId="1" fillId="41" borderId="134" xfId="0" applyFont="1" applyFill="1" applyBorder="1" applyAlignment="1">
      <alignment horizontal="center" vertical="center" wrapText="1"/>
    </xf>
    <xf numFmtId="0" fontId="1" fillId="41" borderId="135" xfId="0" applyFont="1" applyFill="1" applyBorder="1" applyAlignment="1">
      <alignment horizontal="center" vertical="center" wrapText="1"/>
    </xf>
    <xf numFmtId="0" fontId="1" fillId="41" borderId="136" xfId="0" applyFont="1" applyFill="1" applyBorder="1" applyAlignment="1">
      <alignment horizontal="center" vertical="center" wrapText="1"/>
    </xf>
    <xf numFmtId="0" fontId="1" fillId="41" borderId="137" xfId="0" applyFont="1" applyFill="1" applyBorder="1" applyAlignment="1">
      <alignment horizontal="center" vertical="center" wrapText="1"/>
    </xf>
    <xf numFmtId="0" fontId="1" fillId="41" borderId="64" xfId="0" applyFont="1" applyFill="1" applyBorder="1" applyAlignment="1">
      <alignment horizontal="center" vertical="center" wrapText="1"/>
    </xf>
    <xf numFmtId="0" fontId="1" fillId="41" borderId="138" xfId="0" applyFont="1" applyFill="1" applyBorder="1" applyAlignment="1">
      <alignment horizontal="center" vertical="center" wrapText="1"/>
    </xf>
    <xf numFmtId="0" fontId="1" fillId="41" borderId="139" xfId="0" applyFont="1" applyFill="1" applyBorder="1" applyAlignment="1">
      <alignment horizontal="center" vertical="center" wrapText="1"/>
    </xf>
    <xf numFmtId="0" fontId="18" fillId="6" borderId="62" xfId="23" applyFont="1" applyFill="1" applyBorder="1" applyAlignment="1" applyProtection="1">
      <alignment horizontal="center" vertical="center" wrapText="1"/>
      <protection hidden="1"/>
    </xf>
    <xf numFmtId="0" fontId="62" fillId="3" borderId="20" xfId="23" applyFont="1" applyFill="1" applyBorder="1" applyAlignment="1" applyProtection="1">
      <alignment horizontal="center" vertical="center" wrapText="1"/>
      <protection locked="0"/>
    </xf>
    <xf numFmtId="0" fontId="17" fillId="7" borderId="15" xfId="0" applyFont="1" applyFill="1" applyBorder="1" applyAlignment="1">
      <alignment horizontal="center" vertical="center" wrapText="1"/>
    </xf>
    <xf numFmtId="9" fontId="1" fillId="0" borderId="11" xfId="22" applyFont="1" applyBorder="1" applyAlignment="1">
      <alignment horizontal="center" vertical="center" wrapText="1"/>
    </xf>
    <xf numFmtId="3" fontId="19" fillId="0" borderId="20" xfId="0" applyNumberFormat="1" applyFont="1" applyBorder="1" applyAlignment="1">
      <alignment horizontal="center" vertical="center" wrapText="1"/>
    </xf>
    <xf numFmtId="0" fontId="32" fillId="12" borderId="20" xfId="23" applyFont="1" applyFill="1" applyBorder="1" applyAlignment="1" applyProtection="1">
      <alignment horizontal="center" vertical="center" wrapText="1"/>
      <protection locked="0"/>
    </xf>
    <xf numFmtId="0" fontId="32" fillId="13" borderId="20" xfId="23" applyFont="1" applyFill="1" applyBorder="1" applyAlignment="1" applyProtection="1">
      <alignment horizontal="center" vertical="center" wrapText="1"/>
      <protection locked="0"/>
    </xf>
    <xf numFmtId="0" fontId="32" fillId="14" borderId="20" xfId="23" applyFont="1" applyFill="1" applyBorder="1" applyAlignment="1" applyProtection="1">
      <alignment horizontal="center" vertical="center" wrapText="1"/>
      <protection locked="0"/>
    </xf>
    <xf numFmtId="0" fontId="41" fillId="15" borderId="0" xfId="28" applyNumberFormat="1" applyFont="1" applyFill="1" applyBorder="1" applyAlignment="1" applyProtection="1">
      <alignment horizontal="center" vertical="center" wrapText="1"/>
      <protection/>
    </xf>
    <xf numFmtId="9" fontId="41" fillId="15" borderId="0" xfId="28" applyNumberFormat="1" applyFont="1" applyFill="1" applyBorder="1" applyAlignment="1">
      <alignment horizontal="center" vertical="center" wrapText="1"/>
      <protection/>
    </xf>
    <xf numFmtId="0" fontId="1" fillId="6" borderId="63" xfId="23" applyFont="1" applyFill="1" applyBorder="1" applyAlignment="1" applyProtection="1">
      <alignment horizontal="center" vertical="center" wrapText="1"/>
      <protection hidden="1"/>
    </xf>
    <xf numFmtId="14" fontId="1" fillId="0" borderId="63" xfId="24" applyNumberFormat="1" applyFont="1" applyFill="1" applyBorder="1" applyAlignment="1">
      <alignment horizontal="center" vertical="center" wrapText="1"/>
    </xf>
    <xf numFmtId="0" fontId="1" fillId="5" borderId="63" xfId="23" applyFont="1" applyFill="1" applyBorder="1" applyAlignment="1" applyProtection="1">
      <alignment horizontal="center" vertical="center" wrapText="1"/>
      <protection hidden="1"/>
    </xf>
    <xf numFmtId="166" fontId="19" fillId="6" borderId="4" xfId="23" applyNumberFormat="1" applyFont="1" applyFill="1" applyBorder="1" applyAlignment="1" applyProtection="1">
      <alignment horizontal="center" vertical="center" wrapText="1"/>
      <protection hidden="1"/>
    </xf>
    <xf numFmtId="166" fontId="19" fillId="6" borderId="63" xfId="23" applyNumberFormat="1" applyFont="1" applyFill="1" applyBorder="1" applyAlignment="1" applyProtection="1">
      <alignment horizontal="center" vertical="center" wrapText="1"/>
      <protection hidden="1"/>
    </xf>
    <xf numFmtId="177" fontId="45" fillId="41" borderId="1" xfId="20" applyNumberFormat="1" applyFont="1" applyFill="1" applyBorder="1" applyAlignment="1">
      <alignment horizontal="center" vertical="center" wrapText="1"/>
    </xf>
    <xf numFmtId="176" fontId="45" fillId="41" borderId="1" xfId="20" applyNumberFormat="1" applyFont="1" applyFill="1" applyBorder="1" applyAlignment="1">
      <alignment horizontal="center" vertical="center" wrapText="1"/>
    </xf>
    <xf numFmtId="0" fontId="29" fillId="10" borderId="1" xfId="23" applyFont="1" applyFill="1" applyBorder="1" applyAlignment="1" applyProtection="1">
      <alignment horizontal="center" vertical="center" wrapText="1"/>
      <protection hidden="1"/>
    </xf>
    <xf numFmtId="9" fontId="29" fillId="10" borderId="1" xfId="23" applyNumberFormat="1" applyFont="1" applyFill="1" applyBorder="1" applyAlignment="1" applyProtection="1">
      <alignment horizontal="center" vertical="center" wrapText="1"/>
      <protection hidden="1"/>
    </xf>
    <xf numFmtId="9" fontId="29" fillId="10" borderId="1" xfId="22" applyFont="1" applyFill="1" applyBorder="1" applyAlignment="1" applyProtection="1">
      <alignment horizontal="center" vertical="center" wrapText="1"/>
      <protection hidden="1"/>
    </xf>
    <xf numFmtId="9" fontId="95" fillId="24" borderId="66" xfId="28" applyNumberFormat="1" applyFont="1" applyFill="1" applyBorder="1" applyAlignment="1">
      <alignment horizontal="center" vertical="center" wrapText="1"/>
      <protection/>
    </xf>
    <xf numFmtId="0" fontId="95" fillId="24" borderId="66" xfId="28" applyFont="1" applyFill="1" applyBorder="1" applyAlignment="1">
      <alignment horizontal="center" vertical="center" wrapText="1"/>
      <protection/>
    </xf>
    <xf numFmtId="9" fontId="86" fillId="24" borderId="66" xfId="22" applyFont="1" applyFill="1" applyBorder="1" applyAlignment="1">
      <alignment horizontal="center" vertical="center" wrapText="1"/>
    </xf>
    <xf numFmtId="9" fontId="86" fillId="24" borderId="66" xfId="28" applyNumberFormat="1" applyFont="1" applyFill="1" applyBorder="1" applyAlignment="1">
      <alignment horizontal="center" vertical="center" wrapText="1"/>
      <protection/>
    </xf>
    <xf numFmtId="0" fontId="24" fillId="0" borderId="65" xfId="0" applyFont="1" applyBorder="1" applyAlignment="1">
      <alignment horizontal="center" vertical="center" wrapText="1"/>
    </xf>
    <xf numFmtId="0" fontId="33" fillId="24" borderId="83" xfId="28" applyFont="1" applyFill="1" applyBorder="1" applyAlignment="1">
      <alignment horizontal="center" vertical="center" wrapText="1"/>
      <protection/>
    </xf>
    <xf numFmtId="0" fontId="24" fillId="6" borderId="123" xfId="23" applyFont="1" applyFill="1" applyBorder="1" applyAlignment="1" applyProtection="1">
      <alignment horizontal="center" vertical="center" wrapText="1"/>
      <protection hidden="1"/>
    </xf>
    <xf numFmtId="9" fontId="36" fillId="0" borderId="76" xfId="31" applyFont="1" applyFill="1" applyBorder="1" applyAlignment="1" applyProtection="1">
      <alignment horizontal="center" vertical="center" wrapText="1"/>
      <protection hidden="1"/>
    </xf>
    <xf numFmtId="9" fontId="33" fillId="24" borderId="83" xfId="31" applyFont="1" applyFill="1" applyBorder="1" applyAlignment="1" applyProtection="1">
      <alignment horizontal="center" vertical="center" wrapText="1"/>
      <protection/>
    </xf>
    <xf numFmtId="9" fontId="36" fillId="0" borderId="63" xfId="31" applyFont="1" applyFill="1" applyBorder="1" applyAlignment="1" applyProtection="1">
      <alignment horizontal="center" vertical="center" wrapText="1"/>
      <protection hidden="1"/>
    </xf>
    <xf numFmtId="0" fontId="36" fillId="0" borderId="79" xfId="29" applyFont="1" applyFill="1" applyBorder="1" applyAlignment="1" applyProtection="1">
      <alignment horizontal="center" vertical="center" wrapText="1"/>
      <protection hidden="1"/>
    </xf>
    <xf numFmtId="0" fontId="1" fillId="0" borderId="76" xfId="29" applyFont="1" applyFill="1" applyBorder="1" applyAlignment="1" applyProtection="1">
      <alignment horizontal="center" vertical="center" wrapText="1"/>
      <protection hidden="1"/>
    </xf>
    <xf numFmtId="0" fontId="36" fillId="0" borderId="76" xfId="29" applyFont="1" applyFill="1" applyBorder="1" applyAlignment="1" applyProtection="1">
      <alignment horizontal="center" vertical="center" wrapText="1"/>
      <protection hidden="1"/>
    </xf>
    <xf numFmtId="1" fontId="24" fillId="0" borderId="131" xfId="22" applyNumberFormat="1" applyFont="1" applyBorder="1" applyAlignment="1">
      <alignment horizontal="center" vertical="center" wrapText="1"/>
    </xf>
    <xf numFmtId="0" fontId="24" fillId="0" borderId="140" xfId="0" applyFont="1" applyBorder="1" applyAlignment="1">
      <alignment horizontal="center" vertical="center" wrapText="1"/>
    </xf>
    <xf numFmtId="0" fontId="24" fillId="6" borderId="41" xfId="23" applyFont="1" applyFill="1" applyBorder="1" applyAlignment="1" applyProtection="1">
      <alignment horizontal="center" vertical="center" wrapText="1"/>
      <protection hidden="1"/>
    </xf>
    <xf numFmtId="9" fontId="36" fillId="0" borderId="131" xfId="31" applyFont="1" applyFill="1" applyBorder="1" applyAlignment="1" applyProtection="1">
      <alignment horizontal="center" vertical="center" wrapText="1"/>
      <protection hidden="1"/>
    </xf>
    <xf numFmtId="0" fontId="24" fillId="6" borderId="131" xfId="23" applyFont="1" applyFill="1" applyBorder="1" applyAlignment="1" applyProtection="1">
      <alignment horizontal="center" vertical="center" wrapText="1"/>
      <protection hidden="1"/>
    </xf>
    <xf numFmtId="9" fontId="8" fillId="23" borderId="66" xfId="28" applyNumberFormat="1" applyFont="1" applyFill="1" applyBorder="1" applyAlignment="1">
      <alignment horizontal="center" vertical="center" wrapText="1"/>
      <protection/>
    </xf>
    <xf numFmtId="9" fontId="58" fillId="23" borderId="66" xfId="28" applyNumberFormat="1" applyFont="1" applyFill="1" applyBorder="1" applyAlignment="1">
      <alignment horizontal="center" vertical="center" wrapText="1"/>
      <protection/>
    </xf>
    <xf numFmtId="9" fontId="33" fillId="27" borderId="66" xfId="22" applyFont="1" applyFill="1" applyBorder="1" applyAlignment="1">
      <alignment horizontal="center" vertical="center" wrapText="1"/>
    </xf>
    <xf numFmtId="9" fontId="93" fillId="27" borderId="66" xfId="28" applyNumberFormat="1" applyFont="1" applyFill="1" applyBorder="1" applyAlignment="1">
      <alignment horizontal="center" vertical="center" wrapText="1"/>
      <protection/>
    </xf>
    <xf numFmtId="1" fontId="45" fillId="44" borderId="66" xfId="20" applyNumberFormat="1" applyFont="1" applyFill="1" applyBorder="1" applyAlignment="1">
      <alignment horizontal="center" vertical="center" wrapText="1"/>
    </xf>
    <xf numFmtId="0" fontId="84" fillId="23" borderId="66" xfId="28" applyFont="1" applyFill="1" applyBorder="1" applyAlignment="1">
      <alignment horizontal="center" vertical="center" wrapText="1"/>
      <protection/>
    </xf>
    <xf numFmtId="9" fontId="8" fillId="23" borderId="66" xfId="22" applyFont="1" applyFill="1" applyBorder="1" applyAlignment="1">
      <alignment horizontal="center" vertical="center" wrapText="1"/>
    </xf>
    <xf numFmtId="0" fontId="58" fillId="23" borderId="66" xfId="28" applyFont="1" applyFill="1" applyBorder="1" applyAlignment="1">
      <alignment horizontal="center" vertical="center" wrapText="1"/>
      <protection/>
    </xf>
    <xf numFmtId="9" fontId="66" fillId="22" borderId="66" xfId="22" applyFont="1" applyFill="1" applyBorder="1" applyAlignment="1" applyProtection="1">
      <alignment horizontal="center" vertical="center" wrapText="1"/>
      <protection hidden="1"/>
    </xf>
    <xf numFmtId="0" fontId="18" fillId="6" borderId="15" xfId="23" applyFont="1" applyFill="1" applyBorder="1" applyAlignment="1" applyProtection="1">
      <alignment horizontal="center" vertical="center" wrapText="1"/>
      <protection hidden="1"/>
    </xf>
    <xf numFmtId="0" fontId="18" fillId="6" borderId="31" xfId="23" applyFont="1" applyFill="1" applyBorder="1" applyAlignment="1" applyProtection="1">
      <alignment horizontal="center" vertical="center" wrapText="1"/>
      <protection hidden="1"/>
    </xf>
    <xf numFmtId="0" fontId="17" fillId="7" borderId="1" xfId="0" applyFont="1" applyFill="1" applyBorder="1" applyAlignment="1">
      <alignment horizontal="center" vertical="center" wrapText="1"/>
    </xf>
    <xf numFmtId="0" fontId="74" fillId="41" borderId="1" xfId="0" applyFont="1" applyFill="1" applyBorder="1" applyAlignment="1">
      <alignment horizontal="center" vertical="center" wrapText="1"/>
    </xf>
    <xf numFmtId="9" fontId="74" fillId="41" borderId="1" xfId="22" applyFont="1" applyFill="1" applyBorder="1" applyAlignment="1">
      <alignment horizontal="center" vertical="center" wrapText="1"/>
    </xf>
    <xf numFmtId="176" fontId="74" fillId="41" borderId="1" xfId="20" applyNumberFormat="1" applyFont="1" applyFill="1" applyBorder="1" applyAlignment="1">
      <alignment horizontal="center" vertical="center" wrapText="1"/>
    </xf>
    <xf numFmtId="44" fontId="74" fillId="41" borderId="1" xfId="21" applyFont="1" applyFill="1" applyBorder="1" applyAlignment="1">
      <alignment horizontal="center" vertical="center" wrapText="1"/>
    </xf>
    <xf numFmtId="0" fontId="74" fillId="41" borderId="1" xfId="0" applyNumberFormat="1" applyFont="1" applyFill="1" applyBorder="1" applyAlignment="1">
      <alignment horizontal="center" vertical="center" wrapText="1"/>
    </xf>
    <xf numFmtId="0" fontId="14" fillId="41" borderId="8" xfId="23" applyFont="1" applyFill="1" applyBorder="1" applyAlignment="1" applyProtection="1">
      <alignment horizontal="center" vertical="center" wrapText="1"/>
      <protection hidden="1"/>
    </xf>
    <xf numFmtId="0" fontId="74" fillId="41" borderId="8" xfId="0" applyFont="1" applyFill="1" applyBorder="1" applyAlignment="1">
      <alignment horizontal="center" vertical="center" wrapText="1"/>
    </xf>
    <xf numFmtId="0" fontId="24" fillId="0" borderId="34" xfId="0" applyFont="1" applyBorder="1" applyAlignment="1">
      <alignment horizontal="center" vertical="center" wrapText="1"/>
    </xf>
    <xf numFmtId="1" fontId="24" fillId="6" borderId="7" xfId="20" applyNumberFormat="1" applyFont="1" applyFill="1" applyBorder="1" applyAlignment="1" applyProtection="1">
      <alignment horizontal="center" vertical="center" wrapText="1"/>
      <protection hidden="1"/>
    </xf>
    <xf numFmtId="0" fontId="24" fillId="0" borderId="26" xfId="0" applyFont="1" applyBorder="1" applyAlignment="1">
      <alignment horizontal="center" vertical="center" wrapText="1"/>
    </xf>
    <xf numFmtId="0" fontId="24" fillId="0" borderId="24" xfId="0" applyFont="1" applyBorder="1" applyAlignment="1">
      <alignment horizontal="center" vertical="center" wrapText="1"/>
    </xf>
    <xf numFmtId="9" fontId="24" fillId="0" borderId="3" xfId="22" applyFont="1" applyBorder="1" applyAlignment="1">
      <alignment horizontal="center" vertical="center" wrapText="1"/>
    </xf>
    <xf numFmtId="14" fontId="24" fillId="6" borderId="3" xfId="24" applyNumberFormat="1" applyFont="1" applyFill="1" applyBorder="1" applyAlignment="1">
      <alignment horizontal="center" vertical="center" wrapText="1"/>
    </xf>
    <xf numFmtId="14" fontId="24" fillId="6" borderId="4" xfId="24" applyNumberFormat="1" applyFont="1" applyFill="1" applyBorder="1" applyAlignment="1">
      <alignment horizontal="center" vertical="center" wrapText="1"/>
    </xf>
    <xf numFmtId="1" fontId="24" fillId="6" borderId="4" xfId="23" applyNumberFormat="1" applyFont="1" applyFill="1" applyBorder="1" applyAlignment="1" applyProtection="1">
      <alignment horizontal="center" vertical="center" wrapText="1"/>
      <protection hidden="1"/>
    </xf>
    <xf numFmtId="0" fontId="24" fillId="6" borderId="21" xfId="23" applyFont="1" applyFill="1" applyBorder="1" applyAlignment="1" applyProtection="1">
      <alignment horizontal="center" vertical="center" wrapText="1"/>
      <protection hidden="1"/>
    </xf>
    <xf numFmtId="0" fontId="24" fillId="0" borderId="65" xfId="23" applyFont="1" applyFill="1" applyBorder="1" applyAlignment="1" applyProtection="1">
      <alignment horizontal="center" vertical="center" wrapText="1"/>
      <protection hidden="1"/>
    </xf>
    <xf numFmtId="9" fontId="1" fillId="41" borderId="135" xfId="22" applyFont="1" applyFill="1" applyBorder="1" applyAlignment="1">
      <alignment horizontal="center" vertical="center" wrapText="1"/>
    </xf>
    <xf numFmtId="9" fontId="1" fillId="41" borderId="63" xfId="22" applyFont="1" applyFill="1" applyBorder="1" applyAlignment="1">
      <alignment horizontal="center" vertical="center" wrapText="1"/>
    </xf>
    <xf numFmtId="9" fontId="1" fillId="41" borderId="138" xfId="22" applyFont="1" applyFill="1" applyBorder="1" applyAlignment="1">
      <alignment horizontal="center" vertical="center" wrapText="1"/>
    </xf>
    <xf numFmtId="9" fontId="92" fillId="7" borderId="8" xfId="22" applyFont="1" applyFill="1" applyBorder="1" applyAlignment="1">
      <alignment horizontal="center" vertical="center" wrapText="1"/>
    </xf>
    <xf numFmtId="0" fontId="92" fillId="7" borderId="8" xfId="0" applyFont="1" applyFill="1" applyBorder="1" applyAlignment="1">
      <alignment horizontal="center" vertical="center" wrapText="1"/>
    </xf>
    <xf numFmtId="9" fontId="92" fillId="7" borderId="8" xfId="0" applyNumberFormat="1" applyFont="1" applyFill="1" applyBorder="1" applyAlignment="1">
      <alignment horizontal="center" vertical="center" wrapText="1"/>
    </xf>
    <xf numFmtId="1" fontId="87" fillId="41" borderId="1" xfId="0" applyNumberFormat="1" applyFont="1" applyFill="1" applyBorder="1" applyAlignment="1">
      <alignment horizontal="center" vertical="center" wrapText="1"/>
    </xf>
    <xf numFmtId="9" fontId="87" fillId="41" borderId="1" xfId="22" applyFont="1" applyFill="1" applyBorder="1" applyAlignment="1">
      <alignment horizontal="center" vertical="center" wrapText="1"/>
    </xf>
    <xf numFmtId="0" fontId="18" fillId="41" borderId="6" xfId="0" applyFont="1" applyFill="1" applyBorder="1" applyAlignment="1">
      <alignment horizontal="center" vertical="center" wrapText="1"/>
    </xf>
    <xf numFmtId="9" fontId="6" fillId="7" borderId="63" xfId="0" applyNumberFormat="1" applyFont="1" applyFill="1" applyBorder="1" applyAlignment="1">
      <alignment horizontal="center" vertical="center" wrapText="1"/>
    </xf>
    <xf numFmtId="9" fontId="92" fillId="7" borderId="63" xfId="22" applyFont="1" applyFill="1" applyBorder="1" applyAlignment="1">
      <alignment horizontal="center" vertical="center" wrapText="1"/>
    </xf>
    <xf numFmtId="9" fontId="8" fillId="2" borderId="15" xfId="0" applyNumberFormat="1" applyFont="1" applyFill="1" applyBorder="1" applyAlignment="1">
      <alignment horizontal="center" vertical="center" wrapText="1"/>
    </xf>
    <xf numFmtId="9" fontId="96" fillId="7" borderId="1" xfId="0" applyNumberFormat="1" applyFont="1" applyFill="1" applyBorder="1" applyAlignment="1">
      <alignment horizontal="center" vertical="center" wrapText="1"/>
    </xf>
    <xf numFmtId="176" fontId="74" fillId="41" borderId="1" xfId="20" applyNumberFormat="1" applyFont="1" applyFill="1" applyBorder="1" applyAlignment="1" quotePrefix="1">
      <alignment horizontal="center" vertical="center" wrapText="1"/>
    </xf>
    <xf numFmtId="9" fontId="6" fillId="7" borderId="1" xfId="22" applyFont="1" applyFill="1" applyBorder="1" applyAlignment="1">
      <alignment horizontal="center" vertical="center" wrapText="1"/>
    </xf>
    <xf numFmtId="176" fontId="6" fillId="7" borderId="1" xfId="20" applyNumberFormat="1" applyFont="1" applyFill="1" applyBorder="1" applyAlignment="1">
      <alignment horizontal="center" vertical="center" wrapText="1"/>
    </xf>
    <xf numFmtId="9" fontId="6" fillId="9" borderId="1" xfId="0" applyNumberFormat="1" applyFont="1" applyFill="1" applyBorder="1" applyAlignment="1">
      <alignment horizontal="center" vertical="center" wrapText="1"/>
    </xf>
    <xf numFmtId="9" fontId="97" fillId="10" borderId="1" xfId="23" applyNumberFormat="1" applyFont="1" applyFill="1" applyBorder="1" applyAlignment="1" applyProtection="1">
      <alignment horizontal="center" vertical="center" wrapText="1"/>
      <protection hidden="1"/>
    </xf>
    <xf numFmtId="9" fontId="98" fillId="10" borderId="1" xfId="23" applyNumberFormat="1" applyFont="1" applyFill="1" applyBorder="1" applyAlignment="1" applyProtection="1">
      <alignment horizontal="center" vertical="center" wrapText="1"/>
      <protection hidden="1"/>
    </xf>
    <xf numFmtId="1" fontId="24" fillId="18" borderId="71" xfId="28" applyNumberFormat="1" applyFont="1" applyFill="1" applyBorder="1" applyAlignment="1">
      <alignment horizontal="center" vertical="center" wrapText="1"/>
      <protection/>
    </xf>
    <xf numFmtId="9" fontId="86" fillId="7" borderId="66" xfId="28" applyNumberFormat="1" applyFont="1" applyFill="1" applyBorder="1" applyAlignment="1">
      <alignment horizontal="center" vertical="center" wrapText="1"/>
      <protection/>
    </xf>
    <xf numFmtId="0" fontId="99" fillId="0" borderId="0" xfId="28" applyFont="1" applyAlignment="1">
      <alignment horizontal="center" vertical="center"/>
      <protection/>
    </xf>
    <xf numFmtId="9" fontId="66" fillId="22" borderId="66" xfId="29" applyNumberFormat="1" applyFont="1" applyFill="1" applyBorder="1" applyAlignment="1" applyProtection="1">
      <alignment horizontal="center" vertical="center" wrapText="1"/>
      <protection hidden="1"/>
    </xf>
    <xf numFmtId="0" fontId="40" fillId="0" borderId="66" xfId="28" applyBorder="1" applyAlignment="1">
      <alignment horizontal="center" vertical="center"/>
      <protection/>
    </xf>
    <xf numFmtId="0" fontId="61" fillId="0" borderId="66" xfId="28" applyFont="1" applyBorder="1" applyAlignment="1">
      <alignment horizontal="center" vertical="center"/>
      <protection/>
    </xf>
    <xf numFmtId="0" fontId="50" fillId="0" borderId="66" xfId="28" applyFont="1" applyBorder="1" applyAlignment="1">
      <alignment horizontal="center" vertical="center"/>
      <protection/>
    </xf>
    <xf numFmtId="0" fontId="50" fillId="0" borderId="68" xfId="28" applyFont="1" applyBorder="1" applyAlignment="1">
      <alignment horizontal="center" vertical="center"/>
      <protection/>
    </xf>
    <xf numFmtId="0" fontId="51" fillId="8" borderId="63" xfId="28" applyFont="1" applyFill="1" applyBorder="1" applyAlignment="1">
      <alignment horizontal="center" vertical="center" wrapText="1"/>
      <protection/>
    </xf>
    <xf numFmtId="0" fontId="18" fillId="18" borderId="66" xfId="28" applyFont="1" applyFill="1" applyBorder="1" applyAlignment="1">
      <alignment horizontal="center" vertical="center" wrapText="1"/>
      <protection/>
    </xf>
    <xf numFmtId="174" fontId="59" fillId="19" borderId="32" xfId="28" applyNumberFormat="1" applyFont="1" applyFill="1" applyBorder="1" applyAlignment="1">
      <alignment horizontal="center" vertical="center" wrapText="1"/>
      <protection/>
    </xf>
    <xf numFmtId="174" fontId="59" fillId="19" borderId="2" xfId="28" applyNumberFormat="1" applyFont="1" applyFill="1" applyBorder="1" applyAlignment="1">
      <alignment horizontal="center" vertical="center" wrapText="1"/>
      <protection/>
    </xf>
    <xf numFmtId="174" fontId="59" fillId="19" borderId="55" xfId="28" applyNumberFormat="1" applyFont="1" applyFill="1" applyBorder="1" applyAlignment="1">
      <alignment horizontal="center" vertical="center" wrapText="1"/>
      <protection/>
    </xf>
    <xf numFmtId="174" fontId="59" fillId="19" borderId="62" xfId="28" applyNumberFormat="1" applyFont="1" applyFill="1" applyBorder="1" applyAlignment="1">
      <alignment horizontal="center" vertical="center" wrapText="1"/>
      <protection/>
    </xf>
    <xf numFmtId="174" fontId="59" fillId="19" borderId="0" xfId="28" applyNumberFormat="1" applyFont="1" applyFill="1" applyBorder="1" applyAlignment="1">
      <alignment horizontal="center" vertical="center" wrapText="1"/>
      <protection/>
    </xf>
    <xf numFmtId="174" fontId="59" fillId="19" borderId="54" xfId="28" applyNumberFormat="1" applyFont="1" applyFill="1" applyBorder="1" applyAlignment="1">
      <alignment horizontal="center" vertical="center" wrapText="1"/>
      <protection/>
    </xf>
    <xf numFmtId="174" fontId="59" fillId="19" borderId="31" xfId="28" applyNumberFormat="1" applyFont="1" applyFill="1" applyBorder="1" applyAlignment="1">
      <alignment horizontal="center" vertical="center" wrapText="1"/>
      <protection/>
    </xf>
    <xf numFmtId="174" fontId="59" fillId="19" borderId="15" xfId="28" applyNumberFormat="1" applyFont="1" applyFill="1" applyBorder="1" applyAlignment="1">
      <alignment horizontal="center" vertical="center" wrapText="1"/>
      <protection/>
    </xf>
    <xf numFmtId="174" fontId="59" fillId="19" borderId="35" xfId="28" applyNumberFormat="1" applyFont="1" applyFill="1" applyBorder="1" applyAlignment="1">
      <alignment horizontal="center" vertical="center" wrapText="1"/>
      <protection/>
    </xf>
    <xf numFmtId="0" fontId="11" fillId="24" borderId="8" xfId="28" applyFont="1" applyFill="1" applyBorder="1" applyAlignment="1">
      <alignment horizontal="center" vertical="center" wrapText="1"/>
      <protection/>
    </xf>
    <xf numFmtId="0" fontId="11" fillId="24" borderId="20" xfId="28" applyFont="1" applyFill="1" applyBorder="1" applyAlignment="1">
      <alignment horizontal="center" vertical="center" wrapText="1"/>
      <protection/>
    </xf>
    <xf numFmtId="0" fontId="11" fillId="24" borderId="19" xfId="28" applyFont="1" applyFill="1" applyBorder="1" applyAlignment="1">
      <alignment horizontal="center" vertical="center" wrapText="1"/>
      <protection/>
    </xf>
    <xf numFmtId="0" fontId="11" fillId="46" borderId="8" xfId="28" applyFont="1" applyFill="1" applyBorder="1" applyAlignment="1">
      <alignment horizontal="center" vertical="center" wrapText="1"/>
      <protection/>
    </xf>
    <xf numFmtId="0" fontId="11" fillId="46" borderId="20" xfId="28" applyFont="1" applyFill="1" applyBorder="1" applyAlignment="1">
      <alignment horizontal="center" vertical="center" wrapText="1"/>
      <protection/>
    </xf>
    <xf numFmtId="0" fontId="11" fillId="46" borderId="19" xfId="28" applyFont="1" applyFill="1" applyBorder="1" applyAlignment="1">
      <alignment horizontal="center" vertical="center" wrapText="1"/>
      <protection/>
    </xf>
    <xf numFmtId="0" fontId="58" fillId="28" borderId="86" xfId="28" applyFont="1" applyFill="1" applyBorder="1" applyAlignment="1">
      <alignment horizontal="center" vertical="center" wrapText="1"/>
      <protection/>
    </xf>
    <xf numFmtId="174" fontId="58" fillId="20" borderId="94" xfId="28" applyNumberFormat="1" applyFont="1" applyFill="1" applyBorder="1" applyAlignment="1">
      <alignment horizontal="center" vertical="center" wrapText="1"/>
      <protection/>
    </xf>
    <xf numFmtId="174" fontId="58" fillId="25" borderId="94" xfId="28" applyNumberFormat="1" applyFont="1" applyFill="1" applyBorder="1" applyAlignment="1">
      <alignment horizontal="center" vertical="center" wrapText="1"/>
      <protection/>
    </xf>
    <xf numFmtId="174" fontId="58" fillId="25" borderId="84" xfId="28" applyNumberFormat="1" applyFont="1" applyFill="1" applyBorder="1" applyAlignment="1">
      <alignment horizontal="center" vertical="center" wrapText="1"/>
      <protection/>
    </xf>
    <xf numFmtId="0" fontId="59" fillId="28" borderId="68" xfId="28" applyFont="1" applyFill="1" applyBorder="1" applyAlignment="1">
      <alignment horizontal="center" vertical="center" wrapText="1"/>
      <protection/>
    </xf>
    <xf numFmtId="174" fontId="59" fillId="20" borderId="68" xfId="28" applyNumberFormat="1" applyFont="1" applyFill="1" applyBorder="1" applyAlignment="1">
      <alignment horizontal="center" vertical="center" wrapText="1"/>
      <protection/>
    </xf>
    <xf numFmtId="174" fontId="59" fillId="25" borderId="68" xfId="28" applyNumberFormat="1" applyFont="1" applyFill="1" applyBorder="1" applyAlignment="1">
      <alignment horizontal="center" vertical="center" wrapText="1"/>
      <protection/>
    </xf>
    <xf numFmtId="174" fontId="59" fillId="25" borderId="141" xfId="28" applyNumberFormat="1" applyFont="1" applyFill="1" applyBorder="1" applyAlignment="1">
      <alignment horizontal="center" vertical="center" wrapText="1"/>
      <protection/>
    </xf>
    <xf numFmtId="0" fontId="11" fillId="24" borderId="66" xfId="28" applyFont="1" applyFill="1" applyBorder="1" applyAlignment="1">
      <alignment horizontal="center" vertical="center" wrapText="1"/>
      <protection/>
    </xf>
    <xf numFmtId="0" fontId="11" fillId="24" borderId="116" xfId="28" applyFont="1" applyFill="1" applyBorder="1" applyAlignment="1">
      <alignment horizontal="center" vertical="center" wrapText="1"/>
      <protection/>
    </xf>
    <xf numFmtId="0" fontId="18" fillId="17" borderId="68" xfId="29" applyFont="1" applyFill="1" applyBorder="1" applyAlignment="1" applyProtection="1">
      <alignment horizontal="center" vertical="center" wrapText="1"/>
      <protection hidden="1"/>
    </xf>
    <xf numFmtId="0" fontId="58" fillId="28" borderId="94" xfId="28" applyFont="1" applyFill="1" applyBorder="1" applyAlignment="1">
      <alignment horizontal="center" vertical="center" wrapText="1"/>
      <protection/>
    </xf>
    <xf numFmtId="0" fontId="50" fillId="24" borderId="66" xfId="28" applyFont="1" applyFill="1" applyBorder="1" applyAlignment="1">
      <alignment horizontal="center" vertical="center" wrapText="1"/>
      <protection/>
    </xf>
    <xf numFmtId="0" fontId="18" fillId="18" borderId="115" xfId="28" applyFont="1" applyFill="1" applyBorder="1" applyAlignment="1">
      <alignment horizontal="center" vertical="center" wrapText="1"/>
      <protection/>
    </xf>
    <xf numFmtId="0" fontId="50" fillId="47" borderId="66" xfId="28" applyFont="1" applyFill="1" applyBorder="1" applyAlignment="1">
      <alignment horizontal="center" vertical="center" wrapText="1"/>
      <protection/>
    </xf>
    <xf numFmtId="0" fontId="11" fillId="47" borderId="66" xfId="28" applyFont="1" applyFill="1" applyBorder="1" applyAlignment="1">
      <alignment horizontal="center" vertical="center" wrapText="1"/>
      <protection/>
    </xf>
    <xf numFmtId="0" fontId="11" fillId="46" borderId="66" xfId="28" applyFont="1" applyFill="1" applyBorder="1" applyAlignment="1">
      <alignment horizontal="center" vertical="center" wrapText="1"/>
      <protection/>
    </xf>
    <xf numFmtId="0" fontId="11" fillId="46" borderId="116" xfId="28" applyFont="1" applyFill="1" applyBorder="1" applyAlignment="1">
      <alignment horizontal="center" vertical="center" wrapText="1"/>
      <protection/>
    </xf>
    <xf numFmtId="0" fontId="11" fillId="46" borderId="123" xfId="28" applyFont="1" applyFill="1" applyBorder="1" applyAlignment="1">
      <alignment horizontal="center" vertical="center" wrapText="1"/>
      <protection/>
    </xf>
    <xf numFmtId="0" fontId="11" fillId="46" borderId="142" xfId="28" applyFont="1" applyFill="1" applyBorder="1" applyAlignment="1">
      <alignment horizontal="center" vertical="center" wrapText="1"/>
      <protection/>
    </xf>
    <xf numFmtId="0" fontId="11" fillId="46" borderId="65" xfId="28" applyFont="1" applyFill="1" applyBorder="1" applyAlignment="1">
      <alignment horizontal="center" vertical="center" wrapText="1"/>
      <protection/>
    </xf>
    <xf numFmtId="0" fontId="33" fillId="24" borderId="66" xfId="28" applyFont="1" applyFill="1" applyBorder="1" applyAlignment="1">
      <alignment horizontal="center" vertical="center" wrapText="1"/>
      <protection/>
    </xf>
    <xf numFmtId="0" fontId="18" fillId="17" borderId="86" xfId="29" applyFont="1" applyFill="1" applyBorder="1" applyAlignment="1" applyProtection="1">
      <alignment horizontal="center" vertical="center" wrapText="1"/>
      <protection hidden="1"/>
    </xf>
    <xf numFmtId="0" fontId="18" fillId="18" borderId="115" xfId="28" applyFont="1" applyFill="1" applyBorder="1" applyAlignment="1">
      <alignment horizontal="center" vertical="center" wrapText="1"/>
      <protection/>
    </xf>
    <xf numFmtId="0" fontId="18" fillId="18" borderId="68" xfId="28" applyFont="1" applyFill="1" applyBorder="1" applyAlignment="1">
      <alignment horizontal="center" vertical="center" wrapText="1"/>
      <protection/>
    </xf>
    <xf numFmtId="0" fontId="18" fillId="18" borderId="86" xfId="28" applyFont="1" applyFill="1" applyBorder="1" applyAlignment="1">
      <alignment horizontal="center" vertical="center" wrapText="1"/>
      <protection/>
    </xf>
    <xf numFmtId="0" fontId="36" fillId="0" borderId="143" xfId="28" applyFont="1" applyFill="1" applyBorder="1" applyAlignment="1">
      <alignment horizontal="center" vertical="center" wrapText="1"/>
      <protection/>
    </xf>
    <xf numFmtId="0" fontId="36" fillId="0" borderId="94" xfId="28" applyFont="1" applyFill="1" applyBorder="1" applyAlignment="1">
      <alignment horizontal="center" vertical="center" wrapText="1"/>
      <protection/>
    </xf>
    <xf numFmtId="0" fontId="53" fillId="28" borderId="116" xfId="28" applyFont="1" applyFill="1" applyBorder="1" applyAlignment="1">
      <alignment horizontal="center" vertical="center" wrapText="1"/>
      <protection/>
    </xf>
    <xf numFmtId="0" fontId="36" fillId="0" borderId="0" xfId="28" applyFont="1" applyBorder="1" applyAlignment="1">
      <alignment horizontal="center" vertical="center" wrapText="1"/>
      <protection/>
    </xf>
    <xf numFmtId="0" fontId="33" fillId="48" borderId="66" xfId="28" applyFont="1" applyFill="1" applyBorder="1" applyAlignment="1">
      <alignment horizontal="center" vertical="center" wrapText="1"/>
      <protection/>
    </xf>
    <xf numFmtId="0" fontId="33" fillId="0" borderId="68" xfId="28" applyFont="1" applyFill="1" applyBorder="1" applyAlignment="1">
      <alignment horizontal="center" vertical="center" wrapText="1"/>
      <protection/>
    </xf>
    <xf numFmtId="0" fontId="18" fillId="5" borderId="68" xfId="29" applyFont="1" applyFill="1" applyBorder="1" applyAlignment="1" applyProtection="1">
      <alignment horizontal="center" vertical="center" wrapText="1"/>
      <protection hidden="1"/>
    </xf>
    <xf numFmtId="0" fontId="18" fillId="5" borderId="66" xfId="29" applyFont="1" applyFill="1" applyBorder="1" applyAlignment="1" applyProtection="1">
      <alignment horizontal="center" vertical="center" wrapText="1"/>
      <protection hidden="1"/>
    </xf>
    <xf numFmtId="0" fontId="33" fillId="7" borderId="66" xfId="28" applyFont="1" applyFill="1" applyBorder="1" applyAlignment="1">
      <alignment horizontal="center" vertical="center" wrapText="1"/>
      <protection/>
    </xf>
    <xf numFmtId="0" fontId="18" fillId="0" borderId="68" xfId="29" applyFont="1" applyFill="1" applyBorder="1" applyAlignment="1" applyProtection="1">
      <alignment horizontal="center" vertical="center" wrapText="1"/>
      <protection hidden="1"/>
    </xf>
    <xf numFmtId="0" fontId="18" fillId="0" borderId="86" xfId="29" applyFont="1" applyFill="1" applyBorder="1" applyAlignment="1" applyProtection="1">
      <alignment horizontal="center" vertical="center" wrapText="1"/>
      <protection hidden="1"/>
    </xf>
    <xf numFmtId="0" fontId="18" fillId="0" borderId="94" xfId="29" applyFont="1" applyFill="1" applyBorder="1" applyAlignment="1" applyProtection="1">
      <alignment horizontal="center" vertical="center" wrapText="1"/>
      <protection hidden="1"/>
    </xf>
    <xf numFmtId="0" fontId="18" fillId="5" borderId="86" xfId="29" applyFont="1" applyFill="1" applyBorder="1" applyAlignment="1" applyProtection="1">
      <alignment horizontal="center" vertical="center" wrapText="1"/>
      <protection hidden="1"/>
    </xf>
    <xf numFmtId="0" fontId="18" fillId="5" borderId="94" xfId="29" applyFont="1" applyFill="1" applyBorder="1" applyAlignment="1" applyProtection="1">
      <alignment horizontal="center" vertical="center" wrapText="1"/>
      <protection hidden="1"/>
    </xf>
    <xf numFmtId="174" fontId="59" fillId="44" borderId="32" xfId="28" applyNumberFormat="1" applyFont="1" applyFill="1" applyBorder="1" applyAlignment="1">
      <alignment horizontal="center" vertical="center" wrapText="1"/>
      <protection/>
    </xf>
    <xf numFmtId="174" fontId="59" fillId="44" borderId="2" xfId="28" applyNumberFormat="1" applyFont="1" applyFill="1" applyBorder="1" applyAlignment="1">
      <alignment horizontal="center" vertical="center" wrapText="1"/>
      <protection/>
    </xf>
    <xf numFmtId="174" fontId="59" fillId="44" borderId="55" xfId="28" applyNumberFormat="1" applyFont="1" applyFill="1" applyBorder="1" applyAlignment="1">
      <alignment horizontal="center" vertical="center" wrapText="1"/>
      <protection/>
    </xf>
    <xf numFmtId="174" fontId="59" fillId="44" borderId="62" xfId="28" applyNumberFormat="1" applyFont="1" applyFill="1" applyBorder="1" applyAlignment="1">
      <alignment horizontal="center" vertical="center" wrapText="1"/>
      <protection/>
    </xf>
    <xf numFmtId="174" fontId="59" fillId="44" borderId="0" xfId="28" applyNumberFormat="1" applyFont="1" applyFill="1" applyBorder="1" applyAlignment="1">
      <alignment horizontal="center" vertical="center" wrapText="1"/>
      <protection/>
    </xf>
    <xf numFmtId="174" fontId="59" fillId="44" borderId="54" xfId="28" applyNumberFormat="1" applyFont="1" applyFill="1" applyBorder="1" applyAlignment="1">
      <alignment horizontal="center" vertical="center" wrapText="1"/>
      <protection/>
    </xf>
    <xf numFmtId="174" fontId="59" fillId="44" borderId="31" xfId="28" applyNumberFormat="1" applyFont="1" applyFill="1" applyBorder="1" applyAlignment="1">
      <alignment horizontal="center" vertical="center" wrapText="1"/>
      <protection/>
    </xf>
    <xf numFmtId="174" fontId="59" fillId="44" borderId="15" xfId="28" applyNumberFormat="1" applyFont="1" applyFill="1" applyBorder="1" applyAlignment="1">
      <alignment horizontal="center" vertical="center" wrapText="1"/>
      <protection/>
    </xf>
    <xf numFmtId="174" fontId="59" fillId="44" borderId="35" xfId="28" applyNumberFormat="1" applyFont="1" applyFill="1" applyBorder="1" applyAlignment="1">
      <alignment horizontal="center" vertical="center" wrapText="1"/>
      <protection/>
    </xf>
    <xf numFmtId="0" fontId="11" fillId="31" borderId="62" xfId="0" applyFont="1" applyFill="1" applyBorder="1" applyAlignment="1">
      <alignment horizontal="center" vertical="center" wrapText="1"/>
    </xf>
    <xf numFmtId="0" fontId="11" fillId="31" borderId="0" xfId="0" applyFont="1" applyFill="1" applyBorder="1" applyAlignment="1">
      <alignment horizontal="center" vertical="center" wrapText="1"/>
    </xf>
    <xf numFmtId="0" fontId="11" fillId="7" borderId="62" xfId="0" applyFont="1" applyFill="1" applyBorder="1" applyAlignment="1">
      <alignment horizontal="center" vertical="center"/>
    </xf>
    <xf numFmtId="0" fontId="11" fillId="7" borderId="0" xfId="0" applyFont="1" applyFill="1" applyBorder="1" applyAlignment="1">
      <alignment horizontal="center" vertical="center"/>
    </xf>
    <xf numFmtId="0" fontId="11" fillId="31" borderId="62" xfId="0" applyFont="1" applyFill="1" applyBorder="1" applyAlignment="1">
      <alignment horizontal="center" vertical="center"/>
    </xf>
    <xf numFmtId="0" fontId="11" fillId="31" borderId="0" xfId="0" applyFont="1" applyFill="1" applyBorder="1" applyAlignment="1">
      <alignment horizontal="center" vertical="center"/>
    </xf>
    <xf numFmtId="0" fontId="0" fillId="0" borderId="32" xfId="0" applyBorder="1" applyAlignment="1">
      <alignment horizontal="center" vertical="center"/>
    </xf>
    <xf numFmtId="0" fontId="0" fillId="0" borderId="2" xfId="0" applyBorder="1" applyAlignment="1">
      <alignment horizontal="center" vertical="center"/>
    </xf>
    <xf numFmtId="0" fontId="0" fillId="0" borderId="55" xfId="0"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5" xfId="0" applyBorder="1" applyAlignment="1">
      <alignment horizontal="center" vertical="center"/>
    </xf>
    <xf numFmtId="0" fontId="4" fillId="0" borderId="32" xfId="0" applyFont="1" applyBorder="1" applyAlignment="1">
      <alignment horizontal="center" vertical="center"/>
    </xf>
    <xf numFmtId="0" fontId="4" fillId="0" borderId="2" xfId="0" applyFont="1" applyBorder="1" applyAlignment="1">
      <alignment horizontal="center" vertical="center"/>
    </xf>
    <xf numFmtId="0" fontId="4" fillId="0" borderId="31" xfId="0" applyFont="1" applyBorder="1" applyAlignment="1">
      <alignment horizontal="center" vertical="center"/>
    </xf>
    <xf numFmtId="0" fontId="4" fillId="0" borderId="15" xfId="0" applyFont="1" applyBorder="1" applyAlignment="1">
      <alignment horizontal="center"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6" fillId="0" borderId="15" xfId="0" applyFont="1" applyBorder="1" applyAlignment="1">
      <alignment horizontal="center" vertical="center"/>
    </xf>
    <xf numFmtId="0" fontId="7" fillId="2" borderId="3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5" xfId="0" applyFont="1" applyFill="1" applyBorder="1" applyAlignment="1">
      <alignment horizontal="center" vertical="center" wrapText="1"/>
    </xf>
    <xf numFmtId="164" fontId="7" fillId="3" borderId="32" xfId="0" applyNumberFormat="1" applyFont="1" applyFill="1" applyBorder="1" applyAlignment="1">
      <alignment horizontal="center" vertical="center" wrapText="1"/>
    </xf>
    <xf numFmtId="164" fontId="7" fillId="3" borderId="2" xfId="0" applyNumberFormat="1" applyFont="1" applyFill="1" applyBorder="1" applyAlignment="1">
      <alignment horizontal="center" vertical="center" wrapText="1"/>
    </xf>
    <xf numFmtId="164" fontId="7" fillId="3" borderId="55" xfId="0" applyNumberFormat="1" applyFont="1" applyFill="1" applyBorder="1" applyAlignment="1">
      <alignment horizontal="center" vertical="center" wrapText="1"/>
    </xf>
    <xf numFmtId="164" fontId="7" fillId="3" borderId="62" xfId="0" applyNumberFormat="1" applyFont="1" applyFill="1" applyBorder="1" applyAlignment="1">
      <alignment horizontal="center" vertical="center" wrapText="1"/>
    </xf>
    <xf numFmtId="164" fontId="7" fillId="3" borderId="0" xfId="0" applyNumberFormat="1" applyFont="1" applyFill="1" applyBorder="1" applyAlignment="1">
      <alignment horizontal="center" vertical="center" wrapText="1"/>
    </xf>
    <xf numFmtId="164" fontId="7" fillId="3" borderId="54" xfId="0" applyNumberFormat="1" applyFont="1" applyFill="1" applyBorder="1" applyAlignment="1">
      <alignment horizontal="center" vertical="center" wrapText="1"/>
    </xf>
    <xf numFmtId="164" fontId="7" fillId="4" borderId="32" xfId="0" applyNumberFormat="1"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164" fontId="7" fillId="4" borderId="55" xfId="0" applyNumberFormat="1" applyFont="1" applyFill="1" applyBorder="1" applyAlignment="1">
      <alignment horizontal="center" vertical="center" wrapText="1"/>
    </xf>
    <xf numFmtId="164" fontId="7" fillId="4" borderId="62" xfId="0" applyNumberFormat="1" applyFont="1" applyFill="1" applyBorder="1" applyAlignment="1">
      <alignment horizontal="center" vertical="center" wrapText="1"/>
    </xf>
    <xf numFmtId="164" fontId="7" fillId="4" borderId="0" xfId="0" applyNumberFormat="1" applyFont="1" applyFill="1" applyBorder="1" applyAlignment="1">
      <alignment horizontal="center" vertical="center" wrapText="1"/>
    </xf>
    <xf numFmtId="164" fontId="7" fillId="4" borderId="54" xfId="0" applyNumberFormat="1" applyFont="1" applyFill="1" applyBorder="1" applyAlignment="1">
      <alignment horizontal="center" vertical="center" wrapText="1"/>
    </xf>
    <xf numFmtId="0" fontId="8" fillId="2" borderId="6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4" xfId="0" applyFont="1" applyFill="1" applyBorder="1" applyAlignment="1">
      <alignment horizontal="center" vertical="center" wrapText="1"/>
    </xf>
    <xf numFmtId="164" fontId="8" fillId="3" borderId="62" xfId="0" applyNumberFormat="1" applyFont="1" applyFill="1" applyBorder="1" applyAlignment="1">
      <alignment horizontal="center" vertical="center" wrapText="1"/>
    </xf>
    <xf numFmtId="164" fontId="8" fillId="3" borderId="0" xfId="0" applyNumberFormat="1" applyFont="1" applyFill="1" applyBorder="1" applyAlignment="1">
      <alignment horizontal="center" vertical="center" wrapText="1"/>
    </xf>
    <xf numFmtId="164" fontId="8" fillId="3" borderId="54" xfId="0" applyNumberFormat="1" applyFont="1" applyFill="1" applyBorder="1" applyAlignment="1">
      <alignment horizontal="center" vertical="center" wrapText="1"/>
    </xf>
    <xf numFmtId="164" fontId="8" fillId="3" borderId="31" xfId="0" applyNumberFormat="1" applyFont="1" applyFill="1" applyBorder="1" applyAlignment="1">
      <alignment horizontal="center" vertical="center" wrapText="1"/>
    </xf>
    <xf numFmtId="164" fontId="8" fillId="3" borderId="15" xfId="0" applyNumberFormat="1" applyFont="1" applyFill="1" applyBorder="1" applyAlignment="1">
      <alignment horizontal="center" vertical="center" wrapText="1"/>
    </xf>
    <xf numFmtId="164" fontId="8" fillId="3" borderId="35" xfId="0" applyNumberFormat="1" applyFont="1" applyFill="1" applyBorder="1" applyAlignment="1">
      <alignment horizontal="center" vertical="center" wrapText="1"/>
    </xf>
    <xf numFmtId="164" fontId="8" fillId="4" borderId="62" xfId="0" applyNumberFormat="1" applyFont="1" applyFill="1" applyBorder="1" applyAlignment="1">
      <alignment horizontal="center" vertical="center" wrapText="1"/>
    </xf>
    <xf numFmtId="164" fontId="8" fillId="4" borderId="0" xfId="0" applyNumberFormat="1" applyFont="1" applyFill="1" applyBorder="1" applyAlignment="1">
      <alignment horizontal="center" vertical="center" wrapText="1"/>
    </xf>
    <xf numFmtId="164" fontId="8" fillId="4" borderId="54" xfId="0" applyNumberFormat="1" applyFont="1" applyFill="1" applyBorder="1" applyAlignment="1">
      <alignment horizontal="center" vertical="center" wrapText="1"/>
    </xf>
    <xf numFmtId="164" fontId="8" fillId="4" borderId="31" xfId="0" applyNumberFormat="1" applyFont="1" applyFill="1" applyBorder="1" applyAlignment="1">
      <alignment horizontal="center" vertical="center" wrapText="1"/>
    </xf>
    <xf numFmtId="164" fontId="8" fillId="4" borderId="15" xfId="0" applyNumberFormat="1" applyFont="1" applyFill="1" applyBorder="1" applyAlignment="1">
      <alignment horizontal="center" vertical="center" wrapText="1"/>
    </xf>
    <xf numFmtId="164" fontId="8" fillId="4" borderId="35"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6" fillId="31" borderId="8" xfId="0" applyFont="1" applyFill="1" applyBorder="1" applyAlignment="1">
      <alignment horizontal="center" vertical="center" wrapText="1"/>
    </xf>
    <xf numFmtId="0" fontId="6" fillId="31" borderId="20" xfId="0" applyFont="1" applyFill="1" applyBorder="1" applyAlignment="1">
      <alignment horizontal="center" vertical="center" wrapText="1"/>
    </xf>
    <xf numFmtId="0" fontId="6" fillId="31" borderId="19" xfId="0" applyFont="1" applyFill="1" applyBorder="1" applyAlignment="1">
      <alignment horizontal="center" vertical="center" wrapText="1"/>
    </xf>
    <xf numFmtId="0" fontId="11" fillId="31" borderId="8" xfId="0" applyFont="1" applyFill="1" applyBorder="1" applyAlignment="1">
      <alignment horizontal="center" vertical="center" wrapText="1"/>
    </xf>
    <xf numFmtId="0" fontId="11" fillId="31" borderId="20" xfId="0" applyFont="1" applyFill="1" applyBorder="1" applyAlignment="1">
      <alignment horizontal="center" vertical="center" wrapText="1"/>
    </xf>
    <xf numFmtId="0" fontId="11" fillId="31" borderId="19" xfId="0" applyFont="1" applyFill="1" applyBorder="1" applyAlignment="1">
      <alignment horizontal="center" vertical="center" wrapText="1"/>
    </xf>
    <xf numFmtId="0" fontId="11" fillId="31" borderId="1" xfId="0" applyFont="1" applyFill="1" applyBorder="1" applyAlignment="1">
      <alignment horizontal="center" vertical="center" wrapText="1"/>
    </xf>
    <xf numFmtId="0" fontId="17" fillId="7" borderId="8"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18" fillId="6" borderId="23" xfId="23" applyFont="1" applyFill="1" applyBorder="1" applyAlignment="1" applyProtection="1">
      <alignment horizontal="center" vertical="center" wrapText="1"/>
      <protection hidden="1"/>
    </xf>
    <xf numFmtId="0" fontId="18" fillId="5" borderId="6" xfId="23" applyFont="1" applyFill="1" applyBorder="1" applyAlignment="1" applyProtection="1">
      <alignment horizontal="center" vertical="center" wrapText="1"/>
      <protection hidden="1"/>
    </xf>
    <xf numFmtId="0" fontId="18" fillId="5" borderId="23" xfId="23" applyFont="1" applyFill="1" applyBorder="1" applyAlignment="1" applyProtection="1">
      <alignment horizontal="center" vertical="center" wrapText="1"/>
      <protection hidden="1"/>
    </xf>
    <xf numFmtId="0" fontId="18" fillId="6" borderId="6" xfId="23" applyFont="1" applyFill="1" applyBorder="1" applyAlignment="1" applyProtection="1">
      <alignment horizontal="center" vertical="center" wrapText="1"/>
      <protection hidden="1"/>
    </xf>
    <xf numFmtId="0" fontId="18" fillId="6" borderId="12" xfId="23" applyFont="1" applyFill="1" applyBorder="1" applyAlignment="1" applyProtection="1">
      <alignment horizontal="center" vertical="center" wrapText="1"/>
      <protection hidden="1"/>
    </xf>
    <xf numFmtId="0" fontId="13" fillId="2" borderId="8"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9" fillId="0" borderId="0" xfId="0" applyFont="1" applyBorder="1" applyAlignment="1">
      <alignment horizontal="center" vertical="center" wrapText="1"/>
    </xf>
    <xf numFmtId="0" fontId="18" fillId="5" borderId="12" xfId="23" applyFont="1" applyFill="1" applyBorder="1" applyAlignment="1" applyProtection="1">
      <alignment horizontal="center" vertical="center" wrapText="1"/>
      <protection hidden="1"/>
    </xf>
    <xf numFmtId="0" fontId="18" fillId="5" borderId="6" xfId="23" applyFont="1" applyFill="1" applyBorder="1" applyAlignment="1" applyProtection="1" quotePrefix="1">
      <alignment horizontal="center" vertical="center" wrapText="1"/>
      <protection hidden="1"/>
    </xf>
    <xf numFmtId="0" fontId="18" fillId="5" borderId="23" xfId="23" applyFont="1" applyFill="1" applyBorder="1" applyAlignment="1" applyProtection="1" quotePrefix="1">
      <alignment horizontal="center" vertical="center" wrapText="1"/>
      <protection hidden="1"/>
    </xf>
    <xf numFmtId="0" fontId="18" fillId="5" borderId="2" xfId="23" applyFont="1" applyFill="1" applyBorder="1" applyAlignment="1" applyProtection="1">
      <alignment horizontal="center" vertical="center" wrapText="1"/>
      <protection hidden="1"/>
    </xf>
    <xf numFmtId="0" fontId="18" fillId="5" borderId="0" xfId="23" applyFont="1" applyFill="1" applyBorder="1" applyAlignment="1" applyProtection="1">
      <alignment horizontal="center" vertical="center" wrapText="1"/>
      <protection hidden="1"/>
    </xf>
    <xf numFmtId="0" fontId="13" fillId="2" borderId="1" xfId="0" applyFont="1" applyFill="1" applyBorder="1" applyAlignment="1">
      <alignment horizontal="center" vertical="center" wrapText="1"/>
    </xf>
    <xf numFmtId="0" fontId="6" fillId="31" borderId="1"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9" fillId="0" borderId="0" xfId="0" applyFont="1" applyAlignment="1">
      <alignment horizontal="left" vertical="center" wrapText="1"/>
    </xf>
    <xf numFmtId="0" fontId="0" fillId="0" borderId="0" xfId="0" applyAlignment="1">
      <alignment horizontal="center" vertical="center"/>
    </xf>
    <xf numFmtId="0" fontId="87" fillId="8" borderId="6" xfId="0" applyFont="1" applyFill="1" applyBorder="1" applyAlignment="1" applyProtection="1">
      <alignment horizontal="center" vertical="center" wrapText="1"/>
      <protection locked="0"/>
    </xf>
    <xf numFmtId="0" fontId="87" fillId="8" borderId="12" xfId="0" applyFont="1" applyFill="1" applyBorder="1" applyAlignment="1" applyProtection="1">
      <alignment horizontal="center" vertical="center" wrapText="1"/>
      <protection locked="0"/>
    </xf>
    <xf numFmtId="0" fontId="87" fillId="8" borderId="6" xfId="0" applyFont="1" applyFill="1" applyBorder="1" applyAlignment="1">
      <alignment horizontal="center" vertical="center" wrapText="1"/>
    </xf>
    <xf numFmtId="0" fontId="87" fillId="8" borderId="12" xfId="0" applyFont="1" applyFill="1" applyBorder="1" applyAlignment="1">
      <alignment horizontal="center" vertical="center" wrapText="1"/>
    </xf>
    <xf numFmtId="0" fontId="45" fillId="31" borderId="1" xfId="0" applyFont="1" applyFill="1" applyBorder="1" applyAlignment="1">
      <alignment horizontal="center" vertical="center" wrapText="1"/>
    </xf>
    <xf numFmtId="0" fontId="45" fillId="31" borderId="8" xfId="0" applyFont="1" applyFill="1" applyBorder="1" applyAlignment="1">
      <alignment horizontal="center" vertical="center" wrapText="1"/>
    </xf>
    <xf numFmtId="0" fontId="45" fillId="31" borderId="20" xfId="0" applyFont="1" applyFill="1" applyBorder="1" applyAlignment="1">
      <alignment horizontal="center" vertical="center" wrapText="1"/>
    </xf>
    <xf numFmtId="0" fontId="45" fillId="31" borderId="19" xfId="0" applyFont="1" applyFill="1" applyBorder="1" applyAlignment="1">
      <alignment horizontal="center" vertical="center" wrapText="1"/>
    </xf>
    <xf numFmtId="0" fontId="77" fillId="4" borderId="6" xfId="0" applyFont="1" applyFill="1" applyBorder="1" applyAlignment="1" applyProtection="1">
      <alignment horizontal="center" vertical="center" wrapText="1"/>
      <protection locked="0"/>
    </xf>
    <xf numFmtId="0" fontId="77" fillId="4" borderId="12" xfId="0" applyFont="1" applyFill="1" applyBorder="1" applyAlignment="1" applyProtection="1">
      <alignment horizontal="center" vertical="center" wrapText="1"/>
      <protection locked="0"/>
    </xf>
    <xf numFmtId="0" fontId="33" fillId="17" borderId="66" xfId="28" applyFont="1" applyFill="1" applyBorder="1" applyAlignment="1">
      <alignment horizontal="center" vertical="center" wrapText="1"/>
      <protection/>
    </xf>
    <xf numFmtId="0" fontId="18" fillId="18" borderId="115" xfId="23" applyFont="1" applyFill="1" applyBorder="1" applyAlignment="1" applyProtection="1">
      <alignment horizontal="center" vertical="center" wrapText="1"/>
      <protection hidden="1"/>
    </xf>
    <xf numFmtId="0" fontId="18" fillId="18" borderId="66" xfId="23" applyFont="1" applyFill="1" applyBorder="1" applyAlignment="1" applyProtection="1">
      <alignment horizontal="center" vertical="center" wrapText="1"/>
      <protection hidden="1"/>
    </xf>
    <xf numFmtId="0" fontId="18" fillId="6" borderId="32" xfId="23" applyFont="1" applyFill="1" applyBorder="1" applyAlignment="1" applyProtection="1">
      <alignment horizontal="center" vertical="center" wrapText="1"/>
      <protection hidden="1"/>
    </xf>
    <xf numFmtId="0" fontId="18" fillId="6" borderId="62" xfId="23" applyFont="1" applyFill="1" applyBorder="1" applyAlignment="1" applyProtection="1">
      <alignment horizontal="center" vertical="center" wrapText="1"/>
      <protection hidden="1"/>
    </xf>
    <xf numFmtId="9" fontId="62" fillId="3" borderId="15" xfId="23" applyNumberFormat="1" applyFont="1" applyFill="1" applyBorder="1" applyAlignment="1" applyProtection="1">
      <alignment horizontal="center" vertical="center" wrapText="1"/>
      <protection locked="0"/>
    </xf>
    <xf numFmtId="0" fontId="62" fillId="3" borderId="20" xfId="23" applyFont="1" applyFill="1" applyBorder="1" applyAlignment="1" applyProtection="1">
      <alignment horizontal="center" vertical="center" wrapText="1"/>
      <protection locked="0"/>
    </xf>
    <xf numFmtId="0" fontId="1" fillId="6" borderId="6" xfId="23" applyFont="1" applyFill="1" applyBorder="1" applyAlignment="1" applyProtection="1">
      <alignment horizontal="center" vertical="center" wrapText="1"/>
      <protection hidden="1"/>
    </xf>
    <xf numFmtId="0" fontId="1" fillId="6" borderId="12" xfId="23" applyFont="1" applyFill="1" applyBorder="1" applyAlignment="1" applyProtection="1">
      <alignment horizontal="center" vertical="center" wrapText="1"/>
      <protection hidden="1"/>
    </xf>
    <xf numFmtId="0" fontId="18" fillId="5" borderId="12" xfId="23" applyFont="1" applyFill="1" applyBorder="1" applyAlignment="1" applyProtection="1" quotePrefix="1">
      <alignment horizontal="center" vertical="center" wrapText="1"/>
      <protection hidden="1"/>
    </xf>
    <xf numFmtId="9" fontId="34" fillId="5" borderId="39" xfId="0" applyNumberFormat="1" applyFont="1" applyFill="1" applyBorder="1" applyAlignment="1" applyProtection="1">
      <alignment horizontal="center" vertical="center" wrapText="1"/>
      <protection locked="0"/>
    </xf>
    <xf numFmtId="0" fontId="34" fillId="5" borderId="20" xfId="0" applyFont="1" applyFill="1" applyBorder="1" applyAlignment="1" applyProtection="1">
      <alignment horizontal="center" vertical="center" wrapText="1"/>
      <protection locked="0"/>
    </xf>
    <xf numFmtId="0" fontId="34" fillId="5" borderId="10" xfId="0" applyFont="1" applyFill="1" applyBorder="1" applyAlignment="1" applyProtection="1">
      <alignment horizontal="center" vertical="center" wrapText="1"/>
      <protection locked="0"/>
    </xf>
    <xf numFmtId="9" fontId="32" fillId="5" borderId="39" xfId="23" applyNumberFormat="1" applyFont="1" applyFill="1" applyBorder="1" applyAlignment="1" applyProtection="1">
      <alignment horizontal="center" vertical="center" wrapText="1"/>
      <protection locked="0"/>
    </xf>
    <xf numFmtId="0" fontId="32" fillId="5" borderId="20" xfId="23" applyFont="1" applyFill="1" applyBorder="1" applyAlignment="1" applyProtection="1">
      <alignment horizontal="center" vertical="center" wrapText="1"/>
      <protection locked="0"/>
    </xf>
    <xf numFmtId="0" fontId="32" fillId="5" borderId="10" xfId="23" applyFont="1" applyFill="1" applyBorder="1" applyAlignment="1" applyProtection="1">
      <alignment horizontal="center" vertical="center" wrapText="1"/>
      <protection locked="0"/>
    </xf>
    <xf numFmtId="0" fontId="1" fillId="6" borderId="6"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8" fillId="5" borderId="55" xfId="23" applyFont="1" applyFill="1" applyBorder="1" applyAlignment="1" applyProtection="1">
      <alignment horizontal="center" vertical="center" wrapText="1"/>
      <protection hidden="1"/>
    </xf>
    <xf numFmtId="0" fontId="18" fillId="5" borderId="54" xfId="23" applyFont="1" applyFill="1" applyBorder="1" applyAlignment="1" applyProtection="1">
      <alignment horizontal="center" vertical="center" wrapText="1"/>
      <protection hidden="1"/>
    </xf>
    <xf numFmtId="9" fontId="1" fillId="5" borderId="39" xfId="22" applyFont="1" applyFill="1" applyBorder="1" applyAlignment="1">
      <alignment horizontal="center" vertical="center" wrapText="1"/>
    </xf>
    <xf numFmtId="9" fontId="1" fillId="5" borderId="20" xfId="22" applyFont="1" applyFill="1" applyBorder="1" applyAlignment="1">
      <alignment horizontal="center" vertical="center" wrapText="1"/>
    </xf>
    <xf numFmtId="9" fontId="1" fillId="5" borderId="10" xfId="22" applyFont="1" applyFill="1" applyBorder="1" applyAlignment="1">
      <alignment horizontal="center" vertical="center" wrapText="1"/>
    </xf>
    <xf numFmtId="0" fontId="6" fillId="0" borderId="0" xfId="0" applyFont="1" applyBorder="1" applyAlignment="1">
      <alignment horizontal="center" vertical="center"/>
    </xf>
    <xf numFmtId="0" fontId="18" fillId="5" borderId="6"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8" fillId="5" borderId="55"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9" fillId="16" borderId="6"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18" fillId="6" borderId="2" xfId="23" applyFont="1" applyFill="1" applyBorder="1" applyAlignment="1" applyProtection="1">
      <alignment horizontal="center" vertical="center" wrapText="1"/>
      <protection hidden="1"/>
    </xf>
    <xf numFmtId="0" fontId="18" fillId="6" borderId="0" xfId="23" applyFont="1" applyFill="1" applyBorder="1" applyAlignment="1" applyProtection="1">
      <alignment horizontal="center" vertical="center" wrapText="1"/>
      <protection hidden="1"/>
    </xf>
    <xf numFmtId="0" fontId="18" fillId="6" borderId="15" xfId="23" applyFont="1" applyFill="1" applyBorder="1" applyAlignment="1" applyProtection="1">
      <alignment horizontal="center" vertical="center" wrapText="1"/>
      <protection hidden="1"/>
    </xf>
    <xf numFmtId="0" fontId="87" fillId="41" borderId="6" xfId="0" applyFont="1" applyFill="1" applyBorder="1" applyAlignment="1" applyProtection="1">
      <alignment horizontal="center" vertical="center" wrapText="1"/>
      <protection locked="0"/>
    </xf>
    <xf numFmtId="0" fontId="87" fillId="41" borderId="12" xfId="0" applyFont="1" applyFill="1" applyBorder="1" applyAlignment="1" applyProtection="1">
      <alignment horizontal="center" vertical="center" wrapText="1"/>
      <protection locked="0"/>
    </xf>
    <xf numFmtId="0" fontId="87" fillId="41" borderId="6" xfId="0" applyFont="1" applyFill="1" applyBorder="1" applyAlignment="1">
      <alignment horizontal="center" vertical="center" wrapText="1"/>
    </xf>
    <xf numFmtId="0" fontId="87" fillId="41" borderId="12" xfId="0" applyFont="1" applyFill="1" applyBorder="1" applyAlignment="1">
      <alignment horizontal="center" vertical="center" wrapText="1"/>
    </xf>
    <xf numFmtId="166" fontId="1" fillId="6" borderId="4" xfId="23" applyNumberFormat="1" applyFont="1" applyFill="1" applyBorder="1" applyAlignment="1" applyProtection="1">
      <alignment horizontal="center" vertical="center" wrapText="1"/>
      <protection hidden="1"/>
    </xf>
    <xf numFmtId="166" fontId="1" fillId="6" borderId="14" xfId="23" applyNumberFormat="1" applyFont="1" applyFill="1" applyBorder="1" applyAlignment="1" applyProtection="1">
      <alignment horizontal="center" vertical="center" wrapText="1"/>
      <protection hidden="1"/>
    </xf>
    <xf numFmtId="0" fontId="34" fillId="5" borderId="20" xfId="0" applyNumberFormat="1" applyFont="1" applyFill="1" applyBorder="1" applyAlignment="1" applyProtection="1">
      <alignment horizontal="center" vertical="center" wrapText="1"/>
      <protection locked="0"/>
    </xf>
    <xf numFmtId="0" fontId="34" fillId="5" borderId="10" xfId="0" applyNumberFormat="1" applyFont="1" applyFill="1" applyBorder="1" applyAlignment="1" applyProtection="1">
      <alignment horizontal="center" vertical="center" wrapText="1"/>
      <protection locked="0"/>
    </xf>
    <xf numFmtId="0" fontId="18" fillId="5" borderId="35" xfId="23" applyFont="1" applyFill="1" applyBorder="1" applyAlignment="1" applyProtection="1">
      <alignment horizontal="center" vertical="center" wrapText="1"/>
      <protection hidden="1"/>
    </xf>
    <xf numFmtId="9" fontId="1" fillId="5" borderId="39" xfId="22" applyFont="1" applyFill="1" applyBorder="1" applyAlignment="1" applyProtection="1">
      <alignment horizontal="center" vertical="center" wrapText="1"/>
      <protection hidden="1"/>
    </xf>
    <xf numFmtId="9" fontId="1" fillId="5" borderId="20" xfId="22" applyFont="1" applyFill="1" applyBorder="1" applyAlignment="1" applyProtection="1">
      <alignment horizontal="center" vertical="center" wrapText="1"/>
      <protection hidden="1"/>
    </xf>
    <xf numFmtId="9" fontId="1" fillId="5" borderId="10" xfId="22" applyFont="1" applyFill="1" applyBorder="1" applyAlignment="1" applyProtection="1">
      <alignment horizontal="center" vertical="center" wrapText="1"/>
      <protection hidden="1"/>
    </xf>
    <xf numFmtId="0" fontId="18" fillId="17" borderId="94" xfId="29" applyFont="1" applyFill="1" applyBorder="1" applyAlignment="1" applyProtection="1">
      <alignment horizontal="center" vertical="center" wrapText="1"/>
      <protection hidden="1"/>
    </xf>
    <xf numFmtId="0" fontId="18" fillId="18" borderId="81" xfId="28" applyFont="1" applyFill="1" applyBorder="1" applyAlignment="1">
      <alignment horizontal="center" vertical="center" wrapText="1"/>
      <protection/>
    </xf>
    <xf numFmtId="0" fontId="18" fillId="18" borderId="144" xfId="28" applyFont="1" applyFill="1" applyBorder="1" applyAlignment="1">
      <alignment horizontal="center" vertical="center" wrapText="1"/>
      <protection/>
    </xf>
    <xf numFmtId="0" fontId="18" fillId="17" borderId="66" xfId="29" applyFont="1" applyFill="1" applyBorder="1" applyAlignment="1" applyProtection="1">
      <alignment horizontal="center" vertical="center" wrapText="1"/>
      <protection hidden="1"/>
    </xf>
    <xf numFmtId="0" fontId="18" fillId="17" borderId="81" xfId="29" applyFont="1" applyFill="1" applyBorder="1" applyAlignment="1" applyProtection="1">
      <alignment horizontal="center" vertical="center" wrapText="1"/>
      <protection hidden="1"/>
    </xf>
    <xf numFmtId="0" fontId="1" fillId="17" borderId="66" xfId="29" applyFont="1" applyFill="1" applyBorder="1" applyAlignment="1" applyProtection="1">
      <alignment horizontal="center" vertical="center" wrapText="1"/>
      <protection hidden="1"/>
    </xf>
    <xf numFmtId="0" fontId="19" fillId="16" borderId="6" xfId="23" applyFont="1" applyFill="1" applyBorder="1" applyAlignment="1">
      <alignment horizontal="center" vertical="center" wrapText="1"/>
      <protection/>
    </xf>
    <xf numFmtId="0" fontId="19" fillId="16" borderId="12" xfId="23" applyFont="1" applyFill="1" applyBorder="1" applyAlignment="1">
      <alignment horizontal="center" vertical="center" wrapText="1"/>
      <protection/>
    </xf>
    <xf numFmtId="0" fontId="18" fillId="18" borderId="141" xfId="28" applyFont="1" applyFill="1" applyBorder="1" applyAlignment="1">
      <alignment horizontal="center" vertical="center" wrapText="1"/>
      <protection/>
    </xf>
    <xf numFmtId="0" fontId="18" fillId="18" borderId="145" xfId="28" applyFont="1" applyFill="1" applyBorder="1" applyAlignment="1">
      <alignment horizontal="center" vertical="center" wrapText="1"/>
      <protection/>
    </xf>
    <xf numFmtId="0" fontId="18" fillId="18" borderId="84" xfId="28" applyFont="1" applyFill="1" applyBorder="1" applyAlignment="1">
      <alignment horizontal="center" vertical="center" wrapText="1"/>
      <protection/>
    </xf>
    <xf numFmtId="0" fontId="78" fillId="46" borderId="66" xfId="28" applyFont="1" applyFill="1" applyBorder="1" applyAlignment="1">
      <alignment horizontal="center" vertical="center" wrapText="1"/>
      <protection/>
    </xf>
    <xf numFmtId="0" fontId="78" fillId="46" borderId="116" xfId="28" applyFont="1" applyFill="1" applyBorder="1" applyAlignment="1">
      <alignment horizontal="center" vertical="center" wrapText="1"/>
      <protection/>
    </xf>
    <xf numFmtId="0" fontId="33" fillId="24" borderId="68" xfId="28" applyFont="1" applyFill="1" applyBorder="1" applyAlignment="1">
      <alignment horizontal="center" vertical="center" wrapText="1"/>
      <protection/>
    </xf>
    <xf numFmtId="0" fontId="18" fillId="17" borderId="146" xfId="29" applyFont="1" applyFill="1" applyBorder="1" applyAlignment="1" applyProtection="1">
      <alignment horizontal="center" vertical="center" wrapText="1"/>
      <protection hidden="1"/>
    </xf>
    <xf numFmtId="0" fontId="18" fillId="17" borderId="147" xfId="29" applyFont="1" applyFill="1" applyBorder="1" applyAlignment="1" applyProtection="1">
      <alignment horizontal="center" vertical="center" wrapText="1"/>
      <protection hidden="1"/>
    </xf>
    <xf numFmtId="0" fontId="18" fillId="18" borderId="116" xfId="28" applyFont="1" applyFill="1" applyBorder="1" applyAlignment="1">
      <alignment horizontal="center" vertical="center" wrapText="1"/>
      <protection/>
    </xf>
    <xf numFmtId="0" fontId="1" fillId="0" borderId="66" xfId="28" applyFont="1" applyFill="1" applyBorder="1" applyAlignment="1">
      <alignment horizontal="center" vertical="center" wrapText="1"/>
      <protection/>
    </xf>
    <xf numFmtId="0" fontId="18" fillId="18" borderId="68" xfId="29" applyFont="1" applyFill="1" applyBorder="1" applyAlignment="1" applyProtection="1">
      <alignment horizontal="center" vertical="center" wrapText="1"/>
      <protection hidden="1"/>
    </xf>
    <xf numFmtId="0" fontId="53" fillId="28" borderId="85" xfId="28" applyFont="1" applyFill="1" applyBorder="1" applyAlignment="1">
      <alignment horizontal="center" vertical="center" wrapText="1"/>
      <protection/>
    </xf>
    <xf numFmtId="0" fontId="53" fillId="28" borderId="81" xfId="28" applyFont="1" applyFill="1" applyBorder="1" applyAlignment="1">
      <alignment horizontal="center" vertical="center" wrapText="1"/>
      <protection/>
    </xf>
    <xf numFmtId="0" fontId="18" fillId="18" borderId="66" xfId="29" applyFont="1" applyFill="1" applyBorder="1" applyAlignment="1" applyProtection="1">
      <alignment horizontal="center" vertical="center" wrapText="1"/>
      <protection hidden="1"/>
    </xf>
    <xf numFmtId="0" fontId="18" fillId="18" borderId="86" xfId="29" applyFont="1" applyFill="1" applyBorder="1" applyAlignment="1" applyProtection="1">
      <alignment horizontal="center" vertical="center" wrapText="1"/>
      <protection hidden="1"/>
    </xf>
    <xf numFmtId="14" fontId="1" fillId="0" borderId="76" xfId="32" applyNumberFormat="1" applyFont="1" applyFill="1" applyBorder="1" applyAlignment="1" applyProtection="1">
      <alignment horizontal="center" vertical="center" wrapText="1"/>
      <protection/>
    </xf>
    <xf numFmtId="14" fontId="1" fillId="0" borderId="92" xfId="32" applyNumberFormat="1" applyFont="1" applyFill="1" applyBorder="1" applyAlignment="1" applyProtection="1">
      <alignment horizontal="center" vertical="center" wrapText="1"/>
      <protection/>
    </xf>
    <xf numFmtId="169" fontId="1" fillId="21" borderId="76" xfId="29" applyNumberFormat="1" applyFont="1" applyFill="1" applyBorder="1" applyAlignment="1" applyProtection="1">
      <alignment horizontal="center" vertical="center" wrapText="1"/>
      <protection hidden="1"/>
    </xf>
    <xf numFmtId="169" fontId="1" fillId="17" borderId="92" xfId="29" applyNumberFormat="1" applyFont="1" applyFill="1" applyBorder="1" applyAlignment="1" applyProtection="1">
      <alignment horizontal="center" vertical="center" wrapText="1"/>
      <protection hidden="1"/>
    </xf>
    <xf numFmtId="0" fontId="18" fillId="18" borderId="94" xfId="29" applyFont="1" applyFill="1" applyBorder="1" applyAlignment="1" applyProtection="1">
      <alignment horizontal="center" vertical="center" wrapText="1"/>
      <protection hidden="1"/>
    </xf>
    <xf numFmtId="0" fontId="19" fillId="17" borderId="68" xfId="29" applyFont="1" applyFill="1" applyBorder="1" applyAlignment="1" applyProtection="1">
      <alignment horizontal="center" vertical="center" wrapText="1"/>
      <protection hidden="1"/>
    </xf>
    <xf numFmtId="0" fontId="19" fillId="17" borderId="94" xfId="29" applyFont="1" applyFill="1" applyBorder="1" applyAlignment="1" applyProtection="1">
      <alignment horizontal="center" vertical="center" wrapText="1"/>
      <protection hidden="1"/>
    </xf>
    <xf numFmtId="0" fontId="1" fillId="17" borderId="76" xfId="29" applyFont="1" applyFill="1" applyBorder="1" applyAlignment="1" applyProtection="1">
      <alignment horizontal="center" vertical="center" wrapText="1"/>
      <protection hidden="1"/>
    </xf>
    <xf numFmtId="0" fontId="1" fillId="17" borderId="92" xfId="29" applyFont="1" applyFill="1" applyBorder="1" applyAlignment="1" applyProtection="1">
      <alignment horizontal="center" vertical="center" wrapText="1"/>
      <protection hidden="1"/>
    </xf>
    <xf numFmtId="9" fontId="1" fillId="0" borderId="76" xfId="29" applyNumberFormat="1" applyFont="1" applyFill="1" applyBorder="1" applyAlignment="1" applyProtection="1">
      <alignment horizontal="center" vertical="center" wrapText="1"/>
      <protection hidden="1"/>
    </xf>
    <xf numFmtId="9" fontId="1" fillId="0" borderId="92" xfId="29" applyNumberFormat="1" applyFont="1" applyFill="1" applyBorder="1" applyAlignment="1" applyProtection="1">
      <alignment horizontal="center" vertical="center" wrapText="1"/>
      <protection hidden="1"/>
    </xf>
    <xf numFmtId="0" fontId="53" fillId="28" borderId="66" xfId="28" applyFont="1" applyFill="1" applyBorder="1" applyAlignment="1">
      <alignment horizontal="center" vertical="center" wrapText="1"/>
      <protection/>
    </xf>
    <xf numFmtId="0" fontId="33" fillId="17" borderId="68" xfId="28" applyFont="1" applyFill="1" applyBorder="1" applyAlignment="1">
      <alignment horizontal="center" vertical="center" wrapText="1"/>
      <protection/>
    </xf>
    <xf numFmtId="0" fontId="18" fillId="6" borderId="148" xfId="23" applyFont="1" applyFill="1" applyBorder="1" applyAlignment="1" applyProtection="1">
      <alignment horizontal="center" vertical="center" wrapText="1"/>
      <protection hidden="1"/>
    </xf>
    <xf numFmtId="0" fontId="18" fillId="5" borderId="149" xfId="23" applyFont="1" applyFill="1" applyBorder="1" applyAlignment="1" applyProtection="1">
      <alignment horizontal="center" vertical="center" wrapText="1"/>
      <protection hidden="1"/>
    </xf>
    <xf numFmtId="0" fontId="18" fillId="5" borderId="150" xfId="23" applyFont="1" applyFill="1" applyBorder="1" applyAlignment="1" applyProtection="1">
      <alignment horizontal="center" vertical="center" wrapText="1"/>
      <protection hidden="1"/>
    </xf>
    <xf numFmtId="0" fontId="17" fillId="6" borderId="12" xfId="0" applyFont="1" applyFill="1" applyBorder="1" applyAlignment="1">
      <alignment horizontal="center" vertical="center" wrapText="1"/>
    </xf>
    <xf numFmtId="0" fontId="18" fillId="31"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5" borderId="151" xfId="23" applyFont="1" applyFill="1" applyBorder="1" applyAlignment="1" applyProtection="1">
      <alignment horizontal="center" vertical="center" wrapText="1"/>
      <protection hidden="1"/>
    </xf>
    <xf numFmtId="0" fontId="19" fillId="0" borderId="32" xfId="0" applyFont="1" applyBorder="1" applyAlignment="1">
      <alignment horizontal="center" vertical="center"/>
    </xf>
    <xf numFmtId="0" fontId="19" fillId="0" borderId="2" xfId="0" applyFont="1" applyBorder="1" applyAlignment="1">
      <alignment horizontal="center" vertical="center"/>
    </xf>
    <xf numFmtId="0" fontId="19" fillId="0" borderId="55" xfId="0" applyFont="1" applyBorder="1" applyAlignment="1">
      <alignment horizontal="center" vertical="center"/>
    </xf>
    <xf numFmtId="0" fontId="19" fillId="0" borderId="62" xfId="0" applyFont="1" applyBorder="1" applyAlignment="1">
      <alignment horizontal="center" vertical="center"/>
    </xf>
    <xf numFmtId="0" fontId="19" fillId="0" borderId="0" xfId="0" applyFont="1" applyBorder="1" applyAlignment="1">
      <alignment horizontal="center" vertical="center"/>
    </xf>
    <xf numFmtId="0" fontId="19" fillId="0" borderId="54" xfId="0" applyFont="1" applyBorder="1" applyAlignment="1">
      <alignment horizontal="center" vertical="center"/>
    </xf>
    <xf numFmtId="0" fontId="19" fillId="0" borderId="31" xfId="0" applyFont="1" applyBorder="1" applyAlignment="1">
      <alignment horizontal="center" vertical="center"/>
    </xf>
    <xf numFmtId="0" fontId="19" fillId="0" borderId="15" xfId="0" applyFont="1" applyBorder="1" applyAlignment="1">
      <alignment horizontal="center" vertical="center"/>
    </xf>
    <xf numFmtId="0" fontId="19" fillId="0" borderId="35" xfId="0" applyFont="1" applyBorder="1" applyAlignment="1">
      <alignment horizontal="center" vertical="center"/>
    </xf>
    <xf numFmtId="0" fontId="17" fillId="0" borderId="32" xfId="0" applyFont="1" applyBorder="1" applyAlignment="1">
      <alignment horizontal="center" vertical="center"/>
    </xf>
    <xf numFmtId="0" fontId="17" fillId="0" borderId="2" xfId="0" applyFont="1" applyBorder="1" applyAlignment="1">
      <alignment horizontal="center" vertical="center"/>
    </xf>
    <xf numFmtId="0" fontId="17" fillId="0" borderId="31" xfId="0" applyFont="1" applyBorder="1" applyAlignment="1">
      <alignment horizontal="center" vertical="center"/>
    </xf>
    <xf numFmtId="0" fontId="17" fillId="0" borderId="15" xfId="0" applyFont="1" applyBorder="1" applyAlignment="1">
      <alignment horizontal="center" vertical="center"/>
    </xf>
    <xf numFmtId="164" fontId="13" fillId="4" borderId="62" xfId="0" applyNumberFormat="1" applyFont="1" applyFill="1" applyBorder="1" applyAlignment="1">
      <alignment horizontal="center" vertical="center" wrapText="1"/>
    </xf>
    <xf numFmtId="164" fontId="13" fillId="4" borderId="0" xfId="0" applyNumberFormat="1" applyFont="1" applyFill="1" applyBorder="1" applyAlignment="1">
      <alignment horizontal="center" vertical="center" wrapText="1"/>
    </xf>
    <xf numFmtId="164" fontId="13" fillId="4" borderId="54" xfId="0" applyNumberFormat="1" applyFont="1" applyFill="1" applyBorder="1" applyAlignment="1">
      <alignment horizontal="center" vertical="center" wrapText="1"/>
    </xf>
    <xf numFmtId="164" fontId="13" fillId="4" borderId="31" xfId="0" applyNumberFormat="1" applyFont="1" applyFill="1" applyBorder="1" applyAlignment="1">
      <alignment horizontal="center" vertical="center" wrapText="1"/>
    </xf>
    <xf numFmtId="164" fontId="13" fillId="4" borderId="15" xfId="0" applyNumberFormat="1" applyFont="1" applyFill="1" applyBorder="1" applyAlignment="1">
      <alignment horizontal="center" vertical="center" wrapText="1"/>
    </xf>
    <xf numFmtId="164" fontId="13" fillId="4" borderId="35" xfId="0" applyNumberFormat="1" applyFont="1" applyFill="1" applyBorder="1" applyAlignment="1">
      <alignment horizontal="center" vertical="center" wrapText="1"/>
    </xf>
    <xf numFmtId="164" fontId="13" fillId="8" borderId="32" xfId="0" applyNumberFormat="1" applyFont="1" applyFill="1" applyBorder="1" applyAlignment="1">
      <alignment horizontal="center" vertical="center" wrapText="1"/>
    </xf>
    <xf numFmtId="164" fontId="13" fillId="8" borderId="2" xfId="0" applyNumberFormat="1" applyFont="1" applyFill="1" applyBorder="1" applyAlignment="1">
      <alignment horizontal="center" vertical="center" wrapText="1"/>
    </xf>
    <xf numFmtId="164" fontId="13" fillId="8" borderId="55" xfId="0" applyNumberFormat="1" applyFont="1" applyFill="1" applyBorder="1" applyAlignment="1">
      <alignment horizontal="center" vertical="center" wrapText="1"/>
    </xf>
    <xf numFmtId="164" fontId="13" fillId="8" borderId="62" xfId="0" applyNumberFormat="1" applyFont="1" applyFill="1" applyBorder="1" applyAlignment="1">
      <alignment horizontal="center" vertical="center" wrapText="1"/>
    </xf>
    <xf numFmtId="164" fontId="13" fillId="8" borderId="0" xfId="0" applyNumberFormat="1" applyFont="1" applyFill="1" applyBorder="1" applyAlignment="1">
      <alignment horizontal="center" vertical="center" wrapText="1"/>
    </xf>
    <xf numFmtId="164" fontId="13" fillId="8" borderId="54" xfId="0" applyNumberFormat="1" applyFont="1" applyFill="1" applyBorder="1" applyAlignment="1">
      <alignment horizontal="center" vertical="center" wrapText="1"/>
    </xf>
    <xf numFmtId="164" fontId="13" fillId="8" borderId="31" xfId="0" applyNumberFormat="1" applyFont="1" applyFill="1" applyBorder="1" applyAlignment="1">
      <alignment horizontal="center" vertical="center" wrapText="1"/>
    </xf>
    <xf numFmtId="164" fontId="13" fillId="8" borderId="15" xfId="0" applyNumberFormat="1" applyFont="1" applyFill="1" applyBorder="1" applyAlignment="1">
      <alignment horizontal="center" vertical="center" wrapText="1"/>
    </xf>
    <xf numFmtId="164" fontId="13" fillId="8" borderId="35" xfId="0" applyNumberFormat="1"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5" xfId="0" applyFont="1" applyFill="1" applyBorder="1" applyAlignment="1">
      <alignment horizontal="center" vertical="center" wrapText="1"/>
    </xf>
    <xf numFmtId="164" fontId="13" fillId="3" borderId="32" xfId="0" applyNumberFormat="1" applyFont="1" applyFill="1" applyBorder="1" applyAlignment="1">
      <alignment horizontal="center" vertical="center" wrapText="1"/>
    </xf>
    <xf numFmtId="164" fontId="13" fillId="3" borderId="2" xfId="0" applyNumberFormat="1" applyFont="1" applyFill="1" applyBorder="1" applyAlignment="1">
      <alignment horizontal="center" vertical="center" wrapText="1"/>
    </xf>
    <xf numFmtId="164" fontId="13" fillId="3" borderId="55" xfId="0" applyNumberFormat="1" applyFont="1" applyFill="1" applyBorder="1" applyAlignment="1">
      <alignment horizontal="center" vertical="center" wrapText="1"/>
    </xf>
    <xf numFmtId="164" fontId="13" fillId="3" borderId="62" xfId="0" applyNumberFormat="1" applyFont="1" applyFill="1" applyBorder="1" applyAlignment="1">
      <alignment horizontal="center" vertical="center" wrapText="1"/>
    </xf>
    <xf numFmtId="164" fontId="13" fillId="3" borderId="0" xfId="0" applyNumberFormat="1" applyFont="1" applyFill="1" applyBorder="1" applyAlignment="1">
      <alignment horizontal="center" vertical="center" wrapText="1"/>
    </xf>
    <xf numFmtId="164" fontId="13" fillId="3" borderId="54" xfId="0" applyNumberFormat="1" applyFont="1" applyFill="1" applyBorder="1" applyAlignment="1">
      <alignment horizontal="center" vertical="center" wrapText="1"/>
    </xf>
    <xf numFmtId="164" fontId="13" fillId="4" borderId="32" xfId="0" applyNumberFormat="1" applyFont="1" applyFill="1" applyBorder="1" applyAlignment="1">
      <alignment horizontal="center" vertical="center" wrapText="1"/>
    </xf>
    <xf numFmtId="164" fontId="13" fillId="4" borderId="2" xfId="0" applyNumberFormat="1" applyFont="1" applyFill="1" applyBorder="1" applyAlignment="1">
      <alignment horizontal="center" vertical="center" wrapText="1"/>
    </xf>
    <xf numFmtId="164" fontId="13" fillId="4" borderId="55" xfId="0" applyNumberFormat="1" applyFont="1" applyFill="1" applyBorder="1" applyAlignment="1">
      <alignment horizontal="center" vertical="center" wrapText="1"/>
    </xf>
    <xf numFmtId="0" fontId="13" fillId="2" borderId="6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35" xfId="0" applyFont="1" applyFill="1" applyBorder="1" applyAlignment="1">
      <alignment horizontal="center" vertical="center" wrapText="1"/>
    </xf>
    <xf numFmtId="164" fontId="13" fillId="3" borderId="31" xfId="0" applyNumberFormat="1" applyFont="1" applyFill="1" applyBorder="1" applyAlignment="1">
      <alignment horizontal="center" vertical="center" wrapText="1"/>
    </xf>
    <xf numFmtId="164" fontId="13" fillId="3" borderId="15" xfId="0" applyNumberFormat="1" applyFont="1" applyFill="1" applyBorder="1" applyAlignment="1">
      <alignment horizontal="center" vertical="center" wrapText="1"/>
    </xf>
    <xf numFmtId="164" fontId="13" fillId="3" borderId="35"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20" xfId="0" applyFont="1" applyFill="1" applyBorder="1" applyAlignment="1">
      <alignment horizontal="center" vertical="center" wrapText="1"/>
    </xf>
    <xf numFmtId="0" fontId="18" fillId="7" borderId="19" xfId="0" applyFont="1" applyFill="1" applyBorder="1" applyAlignment="1">
      <alignment horizontal="center" vertical="center" wrapText="1"/>
    </xf>
    <xf numFmtId="0" fontId="17" fillId="31" borderId="8" xfId="0" applyFont="1" applyFill="1" applyBorder="1" applyAlignment="1">
      <alignment horizontal="center" vertical="center" wrapText="1"/>
    </xf>
    <xf numFmtId="0" fontId="17" fillId="31" borderId="20" xfId="0" applyFont="1" applyFill="1" applyBorder="1" applyAlignment="1">
      <alignment horizontal="center" vertical="center" wrapText="1"/>
    </xf>
    <xf numFmtId="0" fontId="17" fillId="31" borderId="19" xfId="0" applyFont="1" applyFill="1" applyBorder="1" applyAlignment="1">
      <alignment horizontal="center" vertical="center" wrapText="1"/>
    </xf>
    <xf numFmtId="0" fontId="18" fillId="31" borderId="8" xfId="0" applyFont="1" applyFill="1" applyBorder="1" applyAlignment="1">
      <alignment horizontal="center" vertical="center" wrapText="1"/>
    </xf>
    <xf numFmtId="0" fontId="18" fillId="31" borderId="20" xfId="0" applyFont="1" applyFill="1" applyBorder="1" applyAlignment="1">
      <alignment horizontal="center" vertical="center" wrapText="1"/>
    </xf>
    <xf numFmtId="0" fontId="18" fillId="31" borderId="19"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7" borderId="19" xfId="0"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2" xfId="0" applyNumberFormat="1" applyFont="1" applyFill="1" applyBorder="1" applyAlignment="1">
      <alignment horizontal="center" vertical="center" wrapText="1"/>
    </xf>
    <xf numFmtId="164" fontId="7" fillId="8" borderId="55" xfId="0" applyNumberFormat="1" applyFont="1" applyFill="1" applyBorder="1" applyAlignment="1">
      <alignment horizontal="center" vertical="center" wrapText="1"/>
    </xf>
    <xf numFmtId="164" fontId="7" fillId="8" borderId="62" xfId="0" applyNumberFormat="1" applyFont="1" applyFill="1" applyBorder="1" applyAlignment="1">
      <alignment horizontal="center" vertical="center" wrapText="1"/>
    </xf>
    <xf numFmtId="164" fontId="7" fillId="8" borderId="0" xfId="0" applyNumberFormat="1" applyFont="1" applyFill="1" applyBorder="1" applyAlignment="1">
      <alignment horizontal="center" vertical="center" wrapText="1"/>
    </xf>
    <xf numFmtId="164" fontId="7" fillId="8" borderId="54" xfId="0" applyNumberFormat="1" applyFont="1" applyFill="1" applyBorder="1" applyAlignment="1">
      <alignment horizontal="center" vertical="center" wrapText="1"/>
    </xf>
    <xf numFmtId="164" fontId="7" fillId="8" borderId="31" xfId="0" applyNumberFormat="1" applyFont="1" applyFill="1" applyBorder="1" applyAlignment="1">
      <alignment horizontal="center" vertical="center" wrapText="1"/>
    </xf>
    <xf numFmtId="164" fontId="7" fillId="8" borderId="15"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22" fillId="5" borderId="6" xfId="23" applyFont="1" applyFill="1" applyBorder="1" applyAlignment="1" applyProtection="1">
      <alignment horizontal="center" vertical="center" wrapText="1"/>
      <protection hidden="1"/>
    </xf>
    <xf numFmtId="0" fontId="18" fillId="5" borderId="62" xfId="0" applyFont="1" applyFill="1" applyBorder="1" applyAlignment="1">
      <alignment horizontal="center" vertical="center" wrapText="1"/>
    </xf>
    <xf numFmtId="0" fontId="11" fillId="41" borderId="8" xfId="0" applyFont="1" applyFill="1" applyBorder="1" applyAlignment="1">
      <alignment horizontal="center" vertical="center" wrapText="1"/>
    </xf>
    <xf numFmtId="0" fontId="11" fillId="41" borderId="20" xfId="0" applyFont="1" applyFill="1" applyBorder="1" applyAlignment="1">
      <alignment horizontal="center" vertical="center" wrapText="1"/>
    </xf>
    <xf numFmtId="0" fontId="11" fillId="41" borderId="19" xfId="0" applyFont="1" applyFill="1" applyBorder="1" applyAlignment="1">
      <alignment horizontal="center" vertical="center" wrapText="1"/>
    </xf>
    <xf numFmtId="0" fontId="53" fillId="23" borderId="66" xfId="28" applyFont="1" applyFill="1" applyBorder="1" applyAlignment="1">
      <alignment horizontal="center" vertical="center" wrapText="1"/>
      <protection/>
    </xf>
    <xf numFmtId="0" fontId="18" fillId="24" borderId="66" xfId="28" applyFont="1" applyFill="1" applyBorder="1" applyAlignment="1">
      <alignment horizontal="center" vertical="center" wrapText="1"/>
      <protection/>
    </xf>
    <xf numFmtId="0" fontId="18" fillId="17" borderId="94" xfId="28" applyFont="1" applyFill="1" applyBorder="1" applyAlignment="1">
      <alignment horizontal="center" vertical="center" wrapText="1"/>
      <protection/>
    </xf>
    <xf numFmtId="0" fontId="50" fillId="46" borderId="66" xfId="28" applyFont="1" applyFill="1" applyBorder="1" applyAlignment="1">
      <alignment horizontal="center" vertical="center" wrapText="1"/>
      <protection/>
    </xf>
    <xf numFmtId="0" fontId="58" fillId="23" borderId="86" xfId="28" applyFont="1" applyFill="1" applyBorder="1" applyAlignment="1">
      <alignment horizontal="center" vertical="center" wrapText="1"/>
      <protection/>
    </xf>
    <xf numFmtId="0" fontId="59" fillId="23" borderId="68" xfId="28" applyFont="1" applyFill="1" applyBorder="1" applyAlignment="1">
      <alignment horizontal="center" vertical="center" wrapText="1"/>
      <protection/>
    </xf>
    <xf numFmtId="0" fontId="58" fillId="23" borderId="94" xfId="28" applyFont="1" applyFill="1" applyBorder="1" applyAlignment="1">
      <alignment horizontal="center" vertical="center" wrapText="1"/>
      <protection/>
    </xf>
    <xf numFmtId="164" fontId="7" fillId="41" borderId="32" xfId="0" applyNumberFormat="1" applyFont="1" applyFill="1" applyBorder="1" applyAlignment="1">
      <alignment horizontal="center" vertical="center" wrapText="1"/>
    </xf>
    <xf numFmtId="164" fontId="7" fillId="41" borderId="2" xfId="0" applyNumberFormat="1" applyFont="1" applyFill="1" applyBorder="1" applyAlignment="1">
      <alignment horizontal="center" vertical="center" wrapText="1"/>
    </xf>
    <xf numFmtId="164" fontId="7" fillId="41" borderId="55" xfId="0" applyNumberFormat="1" applyFont="1" applyFill="1" applyBorder="1" applyAlignment="1">
      <alignment horizontal="center" vertical="center" wrapText="1"/>
    </xf>
    <xf numFmtId="164" fontId="7" fillId="41" borderId="62" xfId="0" applyNumberFormat="1" applyFont="1" applyFill="1" applyBorder="1" applyAlignment="1">
      <alignment horizontal="center" vertical="center" wrapText="1"/>
    </xf>
    <xf numFmtId="164" fontId="7" fillId="41" borderId="0" xfId="0" applyNumberFormat="1" applyFont="1" applyFill="1" applyBorder="1" applyAlignment="1">
      <alignment horizontal="center" vertical="center" wrapText="1"/>
    </xf>
    <xf numFmtId="164" fontId="7" fillId="41" borderId="54" xfId="0" applyNumberFormat="1" applyFont="1" applyFill="1" applyBorder="1" applyAlignment="1">
      <alignment horizontal="center" vertical="center" wrapText="1"/>
    </xf>
    <xf numFmtId="164" fontId="8" fillId="41" borderId="62" xfId="0" applyNumberFormat="1" applyFont="1" applyFill="1" applyBorder="1" applyAlignment="1">
      <alignment horizontal="center" vertical="center" wrapText="1"/>
    </xf>
    <xf numFmtId="164" fontId="8" fillId="41" borderId="0" xfId="0" applyNumberFormat="1" applyFont="1" applyFill="1" applyBorder="1" applyAlignment="1">
      <alignment horizontal="center" vertical="center" wrapText="1"/>
    </xf>
    <xf numFmtId="164" fontId="8" fillId="41" borderId="54" xfId="0" applyNumberFormat="1" applyFont="1" applyFill="1" applyBorder="1" applyAlignment="1">
      <alignment horizontal="center" vertical="center" wrapText="1"/>
    </xf>
    <xf numFmtId="164" fontId="8" fillId="41" borderId="31" xfId="0" applyNumberFormat="1" applyFont="1" applyFill="1" applyBorder="1" applyAlignment="1">
      <alignment horizontal="center" vertical="center" wrapText="1"/>
    </xf>
    <xf numFmtId="164" fontId="8" fillId="41" borderId="15" xfId="0" applyNumberFormat="1" applyFont="1" applyFill="1" applyBorder="1" applyAlignment="1">
      <alignment horizontal="center" vertical="center" wrapText="1"/>
    </xf>
    <xf numFmtId="164" fontId="8" fillId="41" borderId="35"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1" fillId="0" borderId="6" xfId="23" applyFont="1" applyFill="1" applyBorder="1" applyAlignment="1" applyProtection="1">
      <alignment horizontal="center" vertical="center" wrapText="1"/>
      <protection hidden="1"/>
    </xf>
    <xf numFmtId="0" fontId="1" fillId="0" borderId="12" xfId="23" applyFont="1" applyFill="1" applyBorder="1" applyAlignment="1" applyProtection="1">
      <alignment horizontal="center" vertical="center" wrapText="1"/>
      <protection hidden="1"/>
    </xf>
    <xf numFmtId="0" fontId="17" fillId="7" borderId="15" xfId="0" applyFont="1" applyFill="1" applyBorder="1" applyAlignment="1">
      <alignment horizontal="center" vertical="center" wrapText="1"/>
    </xf>
    <xf numFmtId="0" fontId="17" fillId="31" borderId="127" xfId="0" applyFont="1" applyFill="1" applyBorder="1" applyAlignment="1">
      <alignment horizontal="center" vertical="center" wrapText="1"/>
    </xf>
    <xf numFmtId="0" fontId="17" fillId="31" borderId="152" xfId="0" applyFont="1" applyFill="1" applyBorder="1" applyAlignment="1">
      <alignment horizontal="center" vertical="center" wrapText="1"/>
    </xf>
    <xf numFmtId="0" fontId="17" fillId="31" borderId="133" xfId="0" applyFont="1" applyFill="1" applyBorder="1" applyAlignment="1">
      <alignment horizontal="center" vertical="center" wrapText="1"/>
    </xf>
    <xf numFmtId="0" fontId="18" fillId="10" borderId="8" xfId="29" applyFont="1" applyFill="1" applyBorder="1" applyAlignment="1" applyProtection="1">
      <alignment horizontal="center" vertical="center" wrapText="1"/>
      <protection hidden="1"/>
    </xf>
    <xf numFmtId="0" fontId="18" fillId="10" borderId="20" xfId="29" applyFont="1" applyFill="1" applyBorder="1" applyAlignment="1" applyProtection="1">
      <alignment horizontal="center" vertical="center" wrapText="1"/>
      <protection hidden="1"/>
    </xf>
    <xf numFmtId="0" fontId="18" fillId="6" borderId="1" xfId="29" applyFont="1" applyFill="1" applyBorder="1" applyAlignment="1" applyProtection="1">
      <alignment horizontal="center" vertical="center" wrapText="1"/>
      <protection hidden="1"/>
    </xf>
    <xf numFmtId="0" fontId="18" fillId="6" borderId="6" xfId="29" applyFont="1" applyFill="1" applyBorder="1" applyAlignment="1" applyProtection="1">
      <alignment horizontal="center" vertical="center" wrapText="1"/>
      <protection hidden="1"/>
    </xf>
    <xf numFmtId="0" fontId="18" fillId="5" borderId="6" xfId="29" applyFont="1" applyFill="1" applyBorder="1" applyAlignment="1" applyProtection="1">
      <alignment horizontal="center" vertical="center" wrapText="1"/>
      <protection hidden="1"/>
    </xf>
    <xf numFmtId="0" fontId="18" fillId="5" borderId="23" xfId="29" applyFont="1" applyFill="1" applyBorder="1" applyAlignment="1" applyProtection="1">
      <alignment horizontal="center" vertical="center" wrapText="1"/>
      <protection hidden="1"/>
    </xf>
    <xf numFmtId="0" fontId="18" fillId="5" borderId="12" xfId="29" applyFont="1" applyFill="1" applyBorder="1" applyAlignment="1" applyProtection="1">
      <alignment horizontal="center" vertical="center" wrapText="1"/>
      <protection hidden="1"/>
    </xf>
    <xf numFmtId="0" fontId="6" fillId="7" borderId="127" xfId="0" applyFont="1" applyFill="1" applyBorder="1" applyAlignment="1">
      <alignment horizontal="center" vertical="center" wrapText="1"/>
    </xf>
    <xf numFmtId="0" fontId="6" fillId="7" borderId="152" xfId="0" applyFont="1" applyFill="1" applyBorder="1" applyAlignment="1">
      <alignment horizontal="center" vertical="center" wrapText="1"/>
    </xf>
    <xf numFmtId="0" fontId="6" fillId="7" borderId="133" xfId="0" applyFont="1" applyFill="1" applyBorder="1" applyAlignment="1">
      <alignment horizontal="center" vertical="center" wrapText="1"/>
    </xf>
    <xf numFmtId="0" fontId="6" fillId="31" borderId="127" xfId="0" applyFont="1" applyFill="1" applyBorder="1" applyAlignment="1">
      <alignment horizontal="center" vertical="center" wrapText="1"/>
    </xf>
    <xf numFmtId="0" fontId="6" fillId="31" borderId="152" xfId="0" applyFont="1" applyFill="1" applyBorder="1" applyAlignment="1">
      <alignment horizontal="center" vertical="center" wrapText="1"/>
    </xf>
    <xf numFmtId="0" fontId="6" fillId="31" borderId="133" xfId="0" applyFont="1" applyFill="1" applyBorder="1" applyAlignment="1">
      <alignment horizontal="center" vertical="center" wrapText="1"/>
    </xf>
    <xf numFmtId="0" fontId="18" fillId="5" borderId="1" xfId="29" applyFont="1" applyFill="1" applyBorder="1" applyAlignment="1" applyProtection="1">
      <alignment horizontal="center" vertical="center" wrapText="1"/>
      <protection hidden="1"/>
    </xf>
    <xf numFmtId="0" fontId="18" fillId="5" borderId="62" xfId="29" applyFont="1" applyFill="1" applyBorder="1" applyAlignment="1" applyProtection="1">
      <alignment horizontal="center" vertical="center" wrapText="1"/>
      <protection hidden="1"/>
    </xf>
    <xf numFmtId="0" fontId="1" fillId="0" borderId="6" xfId="29" applyFont="1" applyFill="1" applyBorder="1" applyAlignment="1" applyProtection="1">
      <alignment horizontal="center" vertical="center" wrapText="1"/>
      <protection hidden="1"/>
    </xf>
    <xf numFmtId="0" fontId="1" fillId="0" borderId="23" xfId="29" applyFont="1" applyFill="1" applyBorder="1" applyAlignment="1" applyProtection="1">
      <alignment horizontal="center" vertical="center" wrapText="1"/>
      <protection hidden="1"/>
    </xf>
    <xf numFmtId="0" fontId="18" fillId="6" borderId="23" xfId="29" applyFont="1" applyFill="1" applyBorder="1" applyAlignment="1" applyProtection="1">
      <alignment horizontal="center" vertical="center" wrapText="1"/>
      <protection hidden="1"/>
    </xf>
    <xf numFmtId="0" fontId="1" fillId="8" borderId="3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62"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8" fillId="5" borderId="153" xfId="23" applyFont="1" applyFill="1" applyBorder="1" applyAlignment="1" applyProtection="1">
      <alignment horizontal="center" vertical="center" wrapText="1"/>
      <protection hidden="1"/>
    </xf>
    <xf numFmtId="0" fontId="18" fillId="5" borderId="154" xfId="23" applyFont="1" applyFill="1" applyBorder="1" applyAlignment="1" applyProtection="1">
      <alignment horizontal="center" vertical="center" wrapText="1"/>
      <protection hidden="1"/>
    </xf>
    <xf numFmtId="0" fontId="18" fillId="5" borderId="155" xfId="23" applyFont="1" applyFill="1" applyBorder="1" applyAlignment="1" applyProtection="1">
      <alignment horizontal="center" vertical="center" wrapText="1"/>
      <protection hidden="1"/>
    </xf>
    <xf numFmtId="0" fontId="18" fillId="6" borderId="31" xfId="23" applyFont="1" applyFill="1" applyBorder="1" applyAlignment="1" applyProtection="1">
      <alignment horizontal="center" vertical="center" wrapText="1"/>
      <protection hidden="1"/>
    </xf>
    <xf numFmtId="0" fontId="5" fillId="0" borderId="0" xfId="0" applyFont="1" applyBorder="1" applyAlignment="1">
      <alignment horizontal="center" vertical="center" wrapText="1"/>
    </xf>
    <xf numFmtId="0" fontId="6" fillId="0" borderId="134" xfId="0" applyFont="1" applyBorder="1" applyAlignment="1">
      <alignment horizontal="center" vertical="center"/>
    </xf>
    <xf numFmtId="0" fontId="6" fillId="0" borderId="136" xfId="0" applyFont="1" applyBorder="1" applyAlignment="1">
      <alignment horizontal="center" vertical="center"/>
    </xf>
    <xf numFmtId="0" fontId="6" fillId="0" borderId="156" xfId="0" applyFont="1" applyBorder="1" applyAlignment="1">
      <alignment horizontal="center" vertical="center"/>
    </xf>
    <xf numFmtId="0" fontId="6" fillId="0" borderId="139" xfId="0" applyFont="1" applyBorder="1" applyAlignment="1">
      <alignment horizontal="center" vertical="center"/>
    </xf>
    <xf numFmtId="0" fontId="0" fillId="0" borderId="63" xfId="0" applyBorder="1" applyAlignment="1">
      <alignment horizontal="center"/>
    </xf>
    <xf numFmtId="0" fontId="0" fillId="0" borderId="134"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64" xfId="0" applyBorder="1" applyAlignment="1">
      <alignment horizontal="center" vertical="center"/>
    </xf>
    <xf numFmtId="0" fontId="0" fillId="0" borderId="156" xfId="0" applyBorder="1" applyAlignment="1">
      <alignment horizontal="center" vertical="center"/>
    </xf>
    <xf numFmtId="0" fontId="0" fillId="0" borderId="139" xfId="0" applyBorder="1" applyAlignment="1">
      <alignment horizontal="center" vertical="center"/>
    </xf>
    <xf numFmtId="0" fontId="4" fillId="0" borderId="134" xfId="0" applyFont="1" applyBorder="1" applyAlignment="1">
      <alignment horizontal="center" vertical="center"/>
    </xf>
    <xf numFmtId="0" fontId="4" fillId="0" borderId="136" xfId="0" applyFont="1" applyBorder="1" applyAlignment="1">
      <alignment horizontal="center" vertical="center"/>
    </xf>
    <xf numFmtId="0" fontId="4" fillId="0" borderId="156" xfId="0" applyFont="1" applyBorder="1" applyAlignment="1">
      <alignment horizontal="center" vertical="center"/>
    </xf>
    <xf numFmtId="0" fontId="4" fillId="0" borderId="139" xfId="0" applyFont="1" applyBorder="1" applyAlignment="1">
      <alignment horizontal="center" vertical="center"/>
    </xf>
    <xf numFmtId="0" fontId="3" fillId="0" borderId="6" xfId="0" applyFont="1" applyBorder="1" applyAlignment="1">
      <alignment horizontal="center" vertical="center" wrapText="1"/>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2" fillId="2" borderId="6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63" xfId="0" applyFill="1" applyBorder="1" applyAlignment="1">
      <alignment horizontal="center"/>
    </xf>
    <xf numFmtId="9" fontId="92" fillId="9" borderId="1" xfId="0" applyNumberFormat="1" applyFont="1" applyFill="1" applyBorder="1" applyAlignment="1">
      <alignment horizontal="center" vertical="center" wrapText="1"/>
    </xf>
    <xf numFmtId="176" fontId="15" fillId="7" borderId="1" xfId="0" applyNumberFormat="1" applyFont="1" applyFill="1" applyBorder="1" applyAlignment="1">
      <alignment horizontal="center" vertical="center" wrapText="1"/>
    </xf>
    <xf numFmtId="9" fontId="100" fillId="10" borderId="1" xfId="23" applyNumberFormat="1" applyFont="1" applyFill="1" applyBorder="1" applyAlignment="1" applyProtection="1">
      <alignment horizontal="center" vertical="center" wrapText="1"/>
      <protection hidden="1"/>
    </xf>
  </cellXfs>
  <cellStyles count="20">
    <cellStyle name="Normal" xfId="0"/>
    <cellStyle name="Percent" xfId="15"/>
    <cellStyle name="Currency" xfId="16"/>
    <cellStyle name="Currency [0]" xfId="17"/>
    <cellStyle name="Comma" xfId="18"/>
    <cellStyle name="Comma [0]" xfId="19"/>
    <cellStyle name="Millares" xfId="20"/>
    <cellStyle name="Moneda" xfId="21"/>
    <cellStyle name="Porcentaje" xfId="22"/>
    <cellStyle name="Normal 2" xfId="23"/>
    <cellStyle name="Millares 2" xfId="24"/>
    <cellStyle name="Millares [0] 2" xfId="25"/>
    <cellStyle name="Normal 3" xfId="26"/>
    <cellStyle name="Porcentaje 2" xfId="27"/>
    <cellStyle name="Excel Built-in Normal" xfId="28"/>
    <cellStyle name="Normal 2 2" xfId="29"/>
    <cellStyle name="Millares 3" xfId="30"/>
    <cellStyle name="Porcentaje 3" xfId="31"/>
    <cellStyle name="Millares 2 2" xfId="32"/>
    <cellStyle name="Moneda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95250</xdr:rowOff>
    </xdr:from>
    <xdr:to>
      <xdr:col>1</xdr:col>
      <xdr:colOff>1524000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95250"/>
          <a:ext cx="1304925" cy="6477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2</xdr:col>
      <xdr:colOff>180975</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90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104775</xdr:rowOff>
    </xdr:from>
    <xdr:to>
      <xdr:col>2</xdr:col>
      <xdr:colOff>180975</xdr:colOff>
      <xdr:row>3</xdr:row>
      <xdr:rowOff>57150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9065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1209675</xdr:colOff>
      <xdr:row>3</xdr:row>
      <xdr:rowOff>161925</xdr:rowOff>
    </xdr:to>
    <xdr:pic>
      <xdr:nvPicPr>
        <xdr:cNvPr id="4"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00075" y="104775"/>
          <a:ext cx="10096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104775</xdr:rowOff>
    </xdr:from>
    <xdr:to>
      <xdr:col>1</xdr:col>
      <xdr:colOff>1581150</xdr:colOff>
      <xdr:row>3</xdr:row>
      <xdr:rowOff>47625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95250</xdr:rowOff>
    </xdr:from>
    <xdr:to>
      <xdr:col>1</xdr:col>
      <xdr:colOff>333375</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80975" y="95250"/>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990600</xdr:colOff>
      <xdr:row>0</xdr:row>
      <xdr:rowOff>114300</xdr:rowOff>
    </xdr:from>
    <xdr:to>
      <xdr:col>2</xdr:col>
      <xdr:colOff>1285875</xdr:colOff>
      <xdr:row>3</xdr:row>
      <xdr:rowOff>66675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0" y="114300"/>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95250</xdr:rowOff>
    </xdr:from>
    <xdr:to>
      <xdr:col>2</xdr:col>
      <xdr:colOff>133350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95250"/>
          <a:ext cx="1533525" cy="6477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2</xdr:col>
      <xdr:colOff>371475</xdr:colOff>
      <xdr:row>3</xdr:row>
      <xdr:rowOff>66675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906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2</xdr:col>
      <xdr:colOff>104775</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104775</xdr:rowOff>
    </xdr:from>
    <xdr:to>
      <xdr:col>1</xdr:col>
      <xdr:colOff>1581150</xdr:colOff>
      <xdr:row>3</xdr:row>
      <xdr:rowOff>57150</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0</xdr:row>
      <xdr:rowOff>104775</xdr:rowOff>
    </xdr:from>
    <xdr:to>
      <xdr:col>1</xdr:col>
      <xdr:colOff>1581150</xdr:colOff>
      <xdr:row>3</xdr:row>
      <xdr:rowOff>57150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28650" y="104775"/>
          <a:ext cx="13811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0</xdr:row>
      <xdr:rowOff>95250</xdr:rowOff>
    </xdr:from>
    <xdr:to>
      <xdr:col>1</xdr:col>
      <xdr:colOff>1524000</xdr:colOff>
      <xdr:row>3</xdr:row>
      <xdr:rowOff>47625</xdr:rowOff>
    </xdr:to>
    <xdr:pic>
      <xdr:nvPicPr>
        <xdr:cNvPr id="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5325" y="95250"/>
          <a:ext cx="1304925" cy="5524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Users\Prof4_Planeacion\Downloads\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0"/>
      <sheetData sheetId="1"/>
      <sheetData sheetId="2"/>
      <sheetData sheetId="3"/>
      <sheetData sheetId="4"/>
      <sheetData sheetId="5"/>
      <sheetData sheetId="6"/>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0"/>
  <sheetViews>
    <sheetView zoomScale="80" zoomScaleNormal="80" workbookViewId="0" topLeftCell="H22">
      <selection activeCell="BK58" sqref="BK58"/>
    </sheetView>
  </sheetViews>
  <sheetFormatPr defaultColWidth="12.57421875" defaultRowHeight="15"/>
  <cols>
    <col min="1" max="1" width="7.140625" style="830" customWidth="1"/>
    <col min="2" max="2" width="33.140625" style="831" customWidth="1"/>
    <col min="3" max="3" width="48.00390625" style="830" customWidth="1"/>
    <col min="4" max="4" width="44.8515625" style="830" customWidth="1"/>
    <col min="5" max="5" width="15.7109375" style="830" customWidth="1"/>
    <col min="6" max="6" width="10.28125" style="830" bestFit="1" customWidth="1"/>
    <col min="7" max="7" width="31.8515625" style="830" customWidth="1"/>
    <col min="8" max="8" width="19.8515625" style="830" customWidth="1"/>
    <col min="9" max="9" width="12.8515625" style="830" customWidth="1"/>
    <col min="10" max="10" width="43.140625" style="830" customWidth="1"/>
    <col min="11" max="11" width="12.421875" style="830" bestFit="1" customWidth="1"/>
    <col min="12" max="12" width="12.421875" style="830" customWidth="1"/>
    <col min="13" max="23" width="5.00390625" style="830" customWidth="1"/>
    <col min="24" max="24" width="7.57421875" style="830" customWidth="1"/>
    <col min="25" max="25" width="12.28125" style="830" customWidth="1"/>
    <col min="26" max="26" width="22.8515625" style="830" customWidth="1"/>
    <col min="27" max="27" width="24.421875" style="830" customWidth="1"/>
    <col min="28" max="28" width="12.57421875" style="1288" hidden="1" customWidth="1"/>
    <col min="29" max="29" width="13.7109375" style="1305" hidden="1" customWidth="1"/>
    <col min="30" max="30" width="12.57421875" style="1449" hidden="1" customWidth="1"/>
    <col min="31" max="33" width="12.57421875" style="830" hidden="1" customWidth="1"/>
    <col min="34" max="34" width="12.57421875" style="1288" hidden="1" customWidth="1"/>
    <col min="35" max="35" width="12.57421875" style="830" hidden="1" customWidth="1"/>
    <col min="36" max="36" width="46.421875" style="830" hidden="1" customWidth="1"/>
    <col min="37" max="45" width="12.57421875" style="830" hidden="1" customWidth="1"/>
    <col min="46" max="46" width="27.7109375" style="830" hidden="1" customWidth="1"/>
    <col min="47" max="48" width="12.57421875" style="830" hidden="1" customWidth="1"/>
    <col min="49" max="49" width="15.140625" style="830" hidden="1" customWidth="1"/>
    <col min="50" max="51" width="12.57421875" style="830" hidden="1" customWidth="1"/>
    <col min="52" max="52" width="14.7109375" style="830" hidden="1" customWidth="1"/>
    <col min="53" max="53" width="16.00390625" style="830" hidden="1" customWidth="1"/>
    <col min="54" max="54" width="15.421875" style="830" hidden="1" customWidth="1"/>
    <col min="55" max="55" width="16.00390625" style="830" hidden="1" customWidth="1"/>
    <col min="56" max="56" width="33.8515625" style="830" hidden="1" customWidth="1"/>
    <col min="57" max="57" width="15.28125" style="830" hidden="1" customWidth="1"/>
    <col min="58" max="58" width="12.57421875" style="830" customWidth="1"/>
    <col min="59" max="59" width="14.8515625" style="830" customWidth="1"/>
    <col min="60" max="65" width="12.57421875" style="830" customWidth="1"/>
    <col min="66" max="66" width="50.00390625" style="830" customWidth="1"/>
    <col min="67" max="241" width="12.57421875" style="830" customWidth="1"/>
    <col min="242" max="242" width="7.140625" style="830" customWidth="1"/>
    <col min="243" max="243" width="33.140625" style="830" customWidth="1"/>
    <col min="244" max="244" width="48.00390625" style="830" customWidth="1"/>
    <col min="245" max="245" width="44.8515625" style="830" customWidth="1"/>
    <col min="246" max="246" width="15.7109375" style="830" customWidth="1"/>
    <col min="247" max="247" width="10.28125" style="830" bestFit="1" customWidth="1"/>
    <col min="248" max="248" width="31.8515625" style="830" customWidth="1"/>
    <col min="249" max="249" width="19.8515625" style="830" customWidth="1"/>
    <col min="250" max="250" width="12.8515625" style="830" customWidth="1"/>
    <col min="251" max="251" width="43.140625" style="830" customWidth="1"/>
    <col min="252" max="252" width="12.421875" style="830" bestFit="1" customWidth="1"/>
    <col min="253" max="253" width="12.421875" style="830" customWidth="1"/>
    <col min="254" max="264" width="5.00390625" style="830" customWidth="1"/>
    <col min="265" max="265" width="7.57421875" style="830" customWidth="1"/>
    <col min="266" max="266" width="12.28125" style="830" customWidth="1"/>
    <col min="267" max="267" width="22.8515625" style="830" customWidth="1"/>
    <col min="268" max="268" width="24.421875" style="830" customWidth="1"/>
    <col min="269" max="311" width="12.57421875" style="830" hidden="1" customWidth="1"/>
    <col min="312" max="497" width="12.57421875" style="830" customWidth="1"/>
    <col min="498" max="498" width="7.140625" style="830" customWidth="1"/>
    <col min="499" max="499" width="33.140625" style="830" customWidth="1"/>
    <col min="500" max="500" width="48.00390625" style="830" customWidth="1"/>
    <col min="501" max="501" width="44.8515625" style="830" customWidth="1"/>
    <col min="502" max="502" width="15.7109375" style="830" customWidth="1"/>
    <col min="503" max="503" width="10.28125" style="830" bestFit="1" customWidth="1"/>
    <col min="504" max="504" width="31.8515625" style="830" customWidth="1"/>
    <col min="505" max="505" width="19.8515625" style="830" customWidth="1"/>
    <col min="506" max="506" width="12.8515625" style="830" customWidth="1"/>
    <col min="507" max="507" width="43.140625" style="830" customWidth="1"/>
    <col min="508" max="508" width="12.421875" style="830" bestFit="1" customWidth="1"/>
    <col min="509" max="509" width="12.421875" style="830" customWidth="1"/>
    <col min="510" max="520" width="5.00390625" style="830" customWidth="1"/>
    <col min="521" max="521" width="7.57421875" style="830" customWidth="1"/>
    <col min="522" max="522" width="12.28125" style="830" customWidth="1"/>
    <col min="523" max="523" width="22.8515625" style="830" customWidth="1"/>
    <col min="524" max="524" width="24.421875" style="830" customWidth="1"/>
    <col min="525" max="567" width="12.57421875" style="830" hidden="1" customWidth="1"/>
    <col min="568" max="753" width="12.57421875" style="830" customWidth="1"/>
    <col min="754" max="754" width="7.140625" style="830" customWidth="1"/>
    <col min="755" max="755" width="33.140625" style="830" customWidth="1"/>
    <col min="756" max="756" width="48.00390625" style="830" customWidth="1"/>
    <col min="757" max="757" width="44.8515625" style="830" customWidth="1"/>
    <col min="758" max="758" width="15.7109375" style="830" customWidth="1"/>
    <col min="759" max="759" width="10.28125" style="830" bestFit="1" customWidth="1"/>
    <col min="760" max="760" width="31.8515625" style="830" customWidth="1"/>
    <col min="761" max="761" width="19.8515625" style="830" customWidth="1"/>
    <col min="762" max="762" width="12.8515625" style="830" customWidth="1"/>
    <col min="763" max="763" width="43.140625" style="830" customWidth="1"/>
    <col min="764" max="764" width="12.421875" style="830" bestFit="1" customWidth="1"/>
    <col min="765" max="765" width="12.421875" style="830" customWidth="1"/>
    <col min="766" max="776" width="5.00390625" style="830" customWidth="1"/>
    <col min="777" max="777" width="7.57421875" style="830" customWidth="1"/>
    <col min="778" max="778" width="12.28125" style="830" customWidth="1"/>
    <col min="779" max="779" width="22.8515625" style="830" customWidth="1"/>
    <col min="780" max="780" width="24.421875" style="830" customWidth="1"/>
    <col min="781" max="823" width="12.57421875" style="830" hidden="1" customWidth="1"/>
    <col min="824" max="1009" width="12.57421875" style="830" customWidth="1"/>
    <col min="1010" max="1010" width="7.140625" style="830" customWidth="1"/>
    <col min="1011" max="1011" width="33.140625" style="830" customWidth="1"/>
    <col min="1012" max="1012" width="48.00390625" style="830" customWidth="1"/>
    <col min="1013" max="1013" width="44.8515625" style="830" customWidth="1"/>
    <col min="1014" max="1014" width="15.7109375" style="830" customWidth="1"/>
    <col min="1015" max="1015" width="10.28125" style="830" bestFit="1" customWidth="1"/>
    <col min="1016" max="1016" width="31.8515625" style="830" customWidth="1"/>
    <col min="1017" max="1017" width="19.8515625" style="830" customWidth="1"/>
    <col min="1018" max="1018" width="12.8515625" style="830" customWidth="1"/>
    <col min="1019" max="1019" width="43.140625" style="830" customWidth="1"/>
    <col min="1020" max="1020" width="12.421875" style="830" bestFit="1" customWidth="1"/>
    <col min="1021" max="1021" width="12.421875" style="830" customWidth="1"/>
    <col min="1022" max="1032" width="5.00390625" style="830" customWidth="1"/>
    <col min="1033" max="1033" width="7.57421875" style="830" customWidth="1"/>
    <col min="1034" max="1034" width="12.28125" style="830" customWidth="1"/>
    <col min="1035" max="1035" width="22.8515625" style="830" customWidth="1"/>
    <col min="1036" max="1036" width="24.421875" style="830" customWidth="1"/>
    <col min="1037" max="1079" width="12.57421875" style="830" hidden="1" customWidth="1"/>
    <col min="1080" max="1265" width="12.57421875" style="830" customWidth="1"/>
    <col min="1266" max="1266" width="7.140625" style="830" customWidth="1"/>
    <col min="1267" max="1267" width="33.140625" style="830" customWidth="1"/>
    <col min="1268" max="1268" width="48.00390625" style="830" customWidth="1"/>
    <col min="1269" max="1269" width="44.8515625" style="830" customWidth="1"/>
    <col min="1270" max="1270" width="15.7109375" style="830" customWidth="1"/>
    <col min="1271" max="1271" width="10.28125" style="830" bestFit="1" customWidth="1"/>
    <col min="1272" max="1272" width="31.8515625" style="830" customWidth="1"/>
    <col min="1273" max="1273" width="19.8515625" style="830" customWidth="1"/>
    <col min="1274" max="1274" width="12.8515625" style="830" customWidth="1"/>
    <col min="1275" max="1275" width="43.140625" style="830" customWidth="1"/>
    <col min="1276" max="1276" width="12.421875" style="830" bestFit="1" customWidth="1"/>
    <col min="1277" max="1277" width="12.421875" style="830" customWidth="1"/>
    <col min="1278" max="1288" width="5.00390625" style="830" customWidth="1"/>
    <col min="1289" max="1289" width="7.57421875" style="830" customWidth="1"/>
    <col min="1290" max="1290" width="12.28125" style="830" customWidth="1"/>
    <col min="1291" max="1291" width="22.8515625" style="830" customWidth="1"/>
    <col min="1292" max="1292" width="24.421875" style="830" customWidth="1"/>
    <col min="1293" max="1335" width="12.57421875" style="830" hidden="1" customWidth="1"/>
    <col min="1336" max="1521" width="12.57421875" style="830" customWidth="1"/>
    <col min="1522" max="1522" width="7.140625" style="830" customWidth="1"/>
    <col min="1523" max="1523" width="33.140625" style="830" customWidth="1"/>
    <col min="1524" max="1524" width="48.00390625" style="830" customWidth="1"/>
    <col min="1525" max="1525" width="44.8515625" style="830" customWidth="1"/>
    <col min="1526" max="1526" width="15.7109375" style="830" customWidth="1"/>
    <col min="1527" max="1527" width="10.28125" style="830" bestFit="1" customWidth="1"/>
    <col min="1528" max="1528" width="31.8515625" style="830" customWidth="1"/>
    <col min="1529" max="1529" width="19.8515625" style="830" customWidth="1"/>
    <col min="1530" max="1530" width="12.8515625" style="830" customWidth="1"/>
    <col min="1531" max="1531" width="43.140625" style="830" customWidth="1"/>
    <col min="1532" max="1532" width="12.421875" style="830" bestFit="1" customWidth="1"/>
    <col min="1533" max="1533" width="12.421875" style="830" customWidth="1"/>
    <col min="1534" max="1544" width="5.00390625" style="830" customWidth="1"/>
    <col min="1545" max="1545" width="7.57421875" style="830" customWidth="1"/>
    <col min="1546" max="1546" width="12.28125" style="830" customWidth="1"/>
    <col min="1547" max="1547" width="22.8515625" style="830" customWidth="1"/>
    <col min="1548" max="1548" width="24.421875" style="830" customWidth="1"/>
    <col min="1549" max="1591" width="12.57421875" style="830" hidden="1" customWidth="1"/>
    <col min="1592" max="1777" width="12.57421875" style="830" customWidth="1"/>
    <col min="1778" max="1778" width="7.140625" style="830" customWidth="1"/>
    <col min="1779" max="1779" width="33.140625" style="830" customWidth="1"/>
    <col min="1780" max="1780" width="48.00390625" style="830" customWidth="1"/>
    <col min="1781" max="1781" width="44.8515625" style="830" customWidth="1"/>
    <col min="1782" max="1782" width="15.7109375" style="830" customWidth="1"/>
    <col min="1783" max="1783" width="10.28125" style="830" bestFit="1" customWidth="1"/>
    <col min="1784" max="1784" width="31.8515625" style="830" customWidth="1"/>
    <col min="1785" max="1785" width="19.8515625" style="830" customWidth="1"/>
    <col min="1786" max="1786" width="12.8515625" style="830" customWidth="1"/>
    <col min="1787" max="1787" width="43.140625" style="830" customWidth="1"/>
    <col min="1788" max="1788" width="12.421875" style="830" bestFit="1" customWidth="1"/>
    <col min="1789" max="1789" width="12.421875" style="830" customWidth="1"/>
    <col min="1790" max="1800" width="5.00390625" style="830" customWidth="1"/>
    <col min="1801" max="1801" width="7.57421875" style="830" customWidth="1"/>
    <col min="1802" max="1802" width="12.28125" style="830" customWidth="1"/>
    <col min="1803" max="1803" width="22.8515625" style="830" customWidth="1"/>
    <col min="1804" max="1804" width="24.421875" style="830" customWidth="1"/>
    <col min="1805" max="1847" width="12.57421875" style="830" hidden="1" customWidth="1"/>
    <col min="1848" max="2033" width="12.57421875" style="830" customWidth="1"/>
    <col min="2034" max="2034" width="7.140625" style="830" customWidth="1"/>
    <col min="2035" max="2035" width="33.140625" style="830" customWidth="1"/>
    <col min="2036" max="2036" width="48.00390625" style="830" customWidth="1"/>
    <col min="2037" max="2037" width="44.8515625" style="830" customWidth="1"/>
    <col min="2038" max="2038" width="15.7109375" style="830" customWidth="1"/>
    <col min="2039" max="2039" width="10.28125" style="830" bestFit="1" customWidth="1"/>
    <col min="2040" max="2040" width="31.8515625" style="830" customWidth="1"/>
    <col min="2041" max="2041" width="19.8515625" style="830" customWidth="1"/>
    <col min="2042" max="2042" width="12.8515625" style="830" customWidth="1"/>
    <col min="2043" max="2043" width="43.140625" style="830" customWidth="1"/>
    <col min="2044" max="2044" width="12.421875" style="830" bestFit="1" customWidth="1"/>
    <col min="2045" max="2045" width="12.421875" style="830" customWidth="1"/>
    <col min="2046" max="2056" width="5.00390625" style="830" customWidth="1"/>
    <col min="2057" max="2057" width="7.57421875" style="830" customWidth="1"/>
    <col min="2058" max="2058" width="12.28125" style="830" customWidth="1"/>
    <col min="2059" max="2059" width="22.8515625" style="830" customWidth="1"/>
    <col min="2060" max="2060" width="24.421875" style="830" customWidth="1"/>
    <col min="2061" max="2103" width="12.57421875" style="830" hidden="1" customWidth="1"/>
    <col min="2104" max="2289" width="12.57421875" style="830" customWidth="1"/>
    <col min="2290" max="2290" width="7.140625" style="830" customWidth="1"/>
    <col min="2291" max="2291" width="33.140625" style="830" customWidth="1"/>
    <col min="2292" max="2292" width="48.00390625" style="830" customWidth="1"/>
    <col min="2293" max="2293" width="44.8515625" style="830" customWidth="1"/>
    <col min="2294" max="2294" width="15.7109375" style="830" customWidth="1"/>
    <col min="2295" max="2295" width="10.28125" style="830" bestFit="1" customWidth="1"/>
    <col min="2296" max="2296" width="31.8515625" style="830" customWidth="1"/>
    <col min="2297" max="2297" width="19.8515625" style="830" customWidth="1"/>
    <col min="2298" max="2298" width="12.8515625" style="830" customWidth="1"/>
    <col min="2299" max="2299" width="43.140625" style="830" customWidth="1"/>
    <col min="2300" max="2300" width="12.421875" style="830" bestFit="1" customWidth="1"/>
    <col min="2301" max="2301" width="12.421875" style="830" customWidth="1"/>
    <col min="2302" max="2312" width="5.00390625" style="830" customWidth="1"/>
    <col min="2313" max="2313" width="7.57421875" style="830" customWidth="1"/>
    <col min="2314" max="2314" width="12.28125" style="830" customWidth="1"/>
    <col min="2315" max="2315" width="22.8515625" style="830" customWidth="1"/>
    <col min="2316" max="2316" width="24.421875" style="830" customWidth="1"/>
    <col min="2317" max="2359" width="12.57421875" style="830" hidden="1" customWidth="1"/>
    <col min="2360" max="2545" width="12.57421875" style="830" customWidth="1"/>
    <col min="2546" max="2546" width="7.140625" style="830" customWidth="1"/>
    <col min="2547" max="2547" width="33.140625" style="830" customWidth="1"/>
    <col min="2548" max="2548" width="48.00390625" style="830" customWidth="1"/>
    <col min="2549" max="2549" width="44.8515625" style="830" customWidth="1"/>
    <col min="2550" max="2550" width="15.7109375" style="830" customWidth="1"/>
    <col min="2551" max="2551" width="10.28125" style="830" bestFit="1" customWidth="1"/>
    <col min="2552" max="2552" width="31.8515625" style="830" customWidth="1"/>
    <col min="2553" max="2553" width="19.8515625" style="830" customWidth="1"/>
    <col min="2554" max="2554" width="12.8515625" style="830" customWidth="1"/>
    <col min="2555" max="2555" width="43.140625" style="830" customWidth="1"/>
    <col min="2556" max="2556" width="12.421875" style="830" bestFit="1" customWidth="1"/>
    <col min="2557" max="2557" width="12.421875" style="830" customWidth="1"/>
    <col min="2558" max="2568" width="5.00390625" style="830" customWidth="1"/>
    <col min="2569" max="2569" width="7.57421875" style="830" customWidth="1"/>
    <col min="2570" max="2570" width="12.28125" style="830" customWidth="1"/>
    <col min="2571" max="2571" width="22.8515625" style="830" customWidth="1"/>
    <col min="2572" max="2572" width="24.421875" style="830" customWidth="1"/>
    <col min="2573" max="2615" width="12.57421875" style="830" hidden="1" customWidth="1"/>
    <col min="2616" max="2801" width="12.57421875" style="830" customWidth="1"/>
    <col min="2802" max="2802" width="7.140625" style="830" customWidth="1"/>
    <col min="2803" max="2803" width="33.140625" style="830" customWidth="1"/>
    <col min="2804" max="2804" width="48.00390625" style="830" customWidth="1"/>
    <col min="2805" max="2805" width="44.8515625" style="830" customWidth="1"/>
    <col min="2806" max="2806" width="15.7109375" style="830" customWidth="1"/>
    <col min="2807" max="2807" width="10.28125" style="830" bestFit="1" customWidth="1"/>
    <col min="2808" max="2808" width="31.8515625" style="830" customWidth="1"/>
    <col min="2809" max="2809" width="19.8515625" style="830" customWidth="1"/>
    <col min="2810" max="2810" width="12.8515625" style="830" customWidth="1"/>
    <col min="2811" max="2811" width="43.140625" style="830" customWidth="1"/>
    <col min="2812" max="2812" width="12.421875" style="830" bestFit="1" customWidth="1"/>
    <col min="2813" max="2813" width="12.421875" style="830" customWidth="1"/>
    <col min="2814" max="2824" width="5.00390625" style="830" customWidth="1"/>
    <col min="2825" max="2825" width="7.57421875" style="830" customWidth="1"/>
    <col min="2826" max="2826" width="12.28125" style="830" customWidth="1"/>
    <col min="2827" max="2827" width="22.8515625" style="830" customWidth="1"/>
    <col min="2828" max="2828" width="24.421875" style="830" customWidth="1"/>
    <col min="2829" max="2871" width="12.57421875" style="830" hidden="1" customWidth="1"/>
    <col min="2872" max="3057" width="12.57421875" style="830" customWidth="1"/>
    <col min="3058" max="3058" width="7.140625" style="830" customWidth="1"/>
    <col min="3059" max="3059" width="33.140625" style="830" customWidth="1"/>
    <col min="3060" max="3060" width="48.00390625" style="830" customWidth="1"/>
    <col min="3061" max="3061" width="44.8515625" style="830" customWidth="1"/>
    <col min="3062" max="3062" width="15.7109375" style="830" customWidth="1"/>
    <col min="3063" max="3063" width="10.28125" style="830" bestFit="1" customWidth="1"/>
    <col min="3064" max="3064" width="31.8515625" style="830" customWidth="1"/>
    <col min="3065" max="3065" width="19.8515625" style="830" customWidth="1"/>
    <col min="3066" max="3066" width="12.8515625" style="830" customWidth="1"/>
    <col min="3067" max="3067" width="43.140625" style="830" customWidth="1"/>
    <col min="3068" max="3068" width="12.421875" style="830" bestFit="1" customWidth="1"/>
    <col min="3069" max="3069" width="12.421875" style="830" customWidth="1"/>
    <col min="3070" max="3080" width="5.00390625" style="830" customWidth="1"/>
    <col min="3081" max="3081" width="7.57421875" style="830" customWidth="1"/>
    <col min="3082" max="3082" width="12.28125" style="830" customWidth="1"/>
    <col min="3083" max="3083" width="22.8515625" style="830" customWidth="1"/>
    <col min="3084" max="3084" width="24.421875" style="830" customWidth="1"/>
    <col min="3085" max="3127" width="12.57421875" style="830" hidden="1" customWidth="1"/>
    <col min="3128" max="3313" width="12.57421875" style="830" customWidth="1"/>
    <col min="3314" max="3314" width="7.140625" style="830" customWidth="1"/>
    <col min="3315" max="3315" width="33.140625" style="830" customWidth="1"/>
    <col min="3316" max="3316" width="48.00390625" style="830" customWidth="1"/>
    <col min="3317" max="3317" width="44.8515625" style="830" customWidth="1"/>
    <col min="3318" max="3318" width="15.7109375" style="830" customWidth="1"/>
    <col min="3319" max="3319" width="10.28125" style="830" bestFit="1" customWidth="1"/>
    <col min="3320" max="3320" width="31.8515625" style="830" customWidth="1"/>
    <col min="3321" max="3321" width="19.8515625" style="830" customWidth="1"/>
    <col min="3322" max="3322" width="12.8515625" style="830" customWidth="1"/>
    <col min="3323" max="3323" width="43.140625" style="830" customWidth="1"/>
    <col min="3324" max="3324" width="12.421875" style="830" bestFit="1" customWidth="1"/>
    <col min="3325" max="3325" width="12.421875" style="830" customWidth="1"/>
    <col min="3326" max="3336" width="5.00390625" style="830" customWidth="1"/>
    <col min="3337" max="3337" width="7.57421875" style="830" customWidth="1"/>
    <col min="3338" max="3338" width="12.28125" style="830" customWidth="1"/>
    <col min="3339" max="3339" width="22.8515625" style="830" customWidth="1"/>
    <col min="3340" max="3340" width="24.421875" style="830" customWidth="1"/>
    <col min="3341" max="3383" width="12.57421875" style="830" hidden="1" customWidth="1"/>
    <col min="3384" max="3569" width="12.57421875" style="830" customWidth="1"/>
    <col min="3570" max="3570" width="7.140625" style="830" customWidth="1"/>
    <col min="3571" max="3571" width="33.140625" style="830" customWidth="1"/>
    <col min="3572" max="3572" width="48.00390625" style="830" customWidth="1"/>
    <col min="3573" max="3573" width="44.8515625" style="830" customWidth="1"/>
    <col min="3574" max="3574" width="15.7109375" style="830" customWidth="1"/>
    <col min="3575" max="3575" width="10.28125" style="830" bestFit="1" customWidth="1"/>
    <col min="3576" max="3576" width="31.8515625" style="830" customWidth="1"/>
    <col min="3577" max="3577" width="19.8515625" style="830" customWidth="1"/>
    <col min="3578" max="3578" width="12.8515625" style="830" customWidth="1"/>
    <col min="3579" max="3579" width="43.140625" style="830" customWidth="1"/>
    <col min="3580" max="3580" width="12.421875" style="830" bestFit="1" customWidth="1"/>
    <col min="3581" max="3581" width="12.421875" style="830" customWidth="1"/>
    <col min="3582" max="3592" width="5.00390625" style="830" customWidth="1"/>
    <col min="3593" max="3593" width="7.57421875" style="830" customWidth="1"/>
    <col min="3594" max="3594" width="12.28125" style="830" customWidth="1"/>
    <col min="3595" max="3595" width="22.8515625" style="830" customWidth="1"/>
    <col min="3596" max="3596" width="24.421875" style="830" customWidth="1"/>
    <col min="3597" max="3639" width="12.57421875" style="830" hidden="1" customWidth="1"/>
    <col min="3640" max="3825" width="12.57421875" style="830" customWidth="1"/>
    <col min="3826" max="3826" width="7.140625" style="830" customWidth="1"/>
    <col min="3827" max="3827" width="33.140625" style="830" customWidth="1"/>
    <col min="3828" max="3828" width="48.00390625" style="830" customWidth="1"/>
    <col min="3829" max="3829" width="44.8515625" style="830" customWidth="1"/>
    <col min="3830" max="3830" width="15.7109375" style="830" customWidth="1"/>
    <col min="3831" max="3831" width="10.28125" style="830" bestFit="1" customWidth="1"/>
    <col min="3832" max="3832" width="31.8515625" style="830" customWidth="1"/>
    <col min="3833" max="3833" width="19.8515625" style="830" customWidth="1"/>
    <col min="3834" max="3834" width="12.8515625" style="830" customWidth="1"/>
    <col min="3835" max="3835" width="43.140625" style="830" customWidth="1"/>
    <col min="3836" max="3836" width="12.421875" style="830" bestFit="1" customWidth="1"/>
    <col min="3837" max="3837" width="12.421875" style="830" customWidth="1"/>
    <col min="3838" max="3848" width="5.00390625" style="830" customWidth="1"/>
    <col min="3849" max="3849" width="7.57421875" style="830" customWidth="1"/>
    <col min="3850" max="3850" width="12.28125" style="830" customWidth="1"/>
    <col min="3851" max="3851" width="22.8515625" style="830" customWidth="1"/>
    <col min="3852" max="3852" width="24.421875" style="830" customWidth="1"/>
    <col min="3853" max="3895" width="12.57421875" style="830" hidden="1" customWidth="1"/>
    <col min="3896" max="4081" width="12.57421875" style="830" customWidth="1"/>
    <col min="4082" max="4082" width="7.140625" style="830" customWidth="1"/>
    <col min="4083" max="4083" width="33.140625" style="830" customWidth="1"/>
    <col min="4084" max="4084" width="48.00390625" style="830" customWidth="1"/>
    <col min="4085" max="4085" width="44.8515625" style="830" customWidth="1"/>
    <col min="4086" max="4086" width="15.7109375" style="830" customWidth="1"/>
    <col min="4087" max="4087" width="10.28125" style="830" bestFit="1" customWidth="1"/>
    <col min="4088" max="4088" width="31.8515625" style="830" customWidth="1"/>
    <col min="4089" max="4089" width="19.8515625" style="830" customWidth="1"/>
    <col min="4090" max="4090" width="12.8515625" style="830" customWidth="1"/>
    <col min="4091" max="4091" width="43.140625" style="830" customWidth="1"/>
    <col min="4092" max="4092" width="12.421875" style="830" bestFit="1" customWidth="1"/>
    <col min="4093" max="4093" width="12.421875" style="830" customWidth="1"/>
    <col min="4094" max="4104" width="5.00390625" style="830" customWidth="1"/>
    <col min="4105" max="4105" width="7.57421875" style="830" customWidth="1"/>
    <col min="4106" max="4106" width="12.28125" style="830" customWidth="1"/>
    <col min="4107" max="4107" width="22.8515625" style="830" customWidth="1"/>
    <col min="4108" max="4108" width="24.421875" style="830" customWidth="1"/>
    <col min="4109" max="4151" width="12.57421875" style="830" hidden="1" customWidth="1"/>
    <col min="4152" max="4337" width="12.57421875" style="830" customWidth="1"/>
    <col min="4338" max="4338" width="7.140625" style="830" customWidth="1"/>
    <col min="4339" max="4339" width="33.140625" style="830" customWidth="1"/>
    <col min="4340" max="4340" width="48.00390625" style="830" customWidth="1"/>
    <col min="4341" max="4341" width="44.8515625" style="830" customWidth="1"/>
    <col min="4342" max="4342" width="15.7109375" style="830" customWidth="1"/>
    <col min="4343" max="4343" width="10.28125" style="830" bestFit="1" customWidth="1"/>
    <col min="4344" max="4344" width="31.8515625" style="830" customWidth="1"/>
    <col min="4345" max="4345" width="19.8515625" style="830" customWidth="1"/>
    <col min="4346" max="4346" width="12.8515625" style="830" customWidth="1"/>
    <col min="4347" max="4347" width="43.140625" style="830" customWidth="1"/>
    <col min="4348" max="4348" width="12.421875" style="830" bestFit="1" customWidth="1"/>
    <col min="4349" max="4349" width="12.421875" style="830" customWidth="1"/>
    <col min="4350" max="4360" width="5.00390625" style="830" customWidth="1"/>
    <col min="4361" max="4361" width="7.57421875" style="830" customWidth="1"/>
    <col min="4362" max="4362" width="12.28125" style="830" customWidth="1"/>
    <col min="4363" max="4363" width="22.8515625" style="830" customWidth="1"/>
    <col min="4364" max="4364" width="24.421875" style="830" customWidth="1"/>
    <col min="4365" max="4407" width="12.57421875" style="830" hidden="1" customWidth="1"/>
    <col min="4408" max="4593" width="12.57421875" style="830" customWidth="1"/>
    <col min="4594" max="4594" width="7.140625" style="830" customWidth="1"/>
    <col min="4595" max="4595" width="33.140625" style="830" customWidth="1"/>
    <col min="4596" max="4596" width="48.00390625" style="830" customWidth="1"/>
    <col min="4597" max="4597" width="44.8515625" style="830" customWidth="1"/>
    <col min="4598" max="4598" width="15.7109375" style="830" customWidth="1"/>
    <col min="4599" max="4599" width="10.28125" style="830" bestFit="1" customWidth="1"/>
    <col min="4600" max="4600" width="31.8515625" style="830" customWidth="1"/>
    <col min="4601" max="4601" width="19.8515625" style="830" customWidth="1"/>
    <col min="4602" max="4602" width="12.8515625" style="830" customWidth="1"/>
    <col min="4603" max="4603" width="43.140625" style="830" customWidth="1"/>
    <col min="4604" max="4604" width="12.421875" style="830" bestFit="1" customWidth="1"/>
    <col min="4605" max="4605" width="12.421875" style="830" customWidth="1"/>
    <col min="4606" max="4616" width="5.00390625" style="830" customWidth="1"/>
    <col min="4617" max="4617" width="7.57421875" style="830" customWidth="1"/>
    <col min="4618" max="4618" width="12.28125" style="830" customWidth="1"/>
    <col min="4619" max="4619" width="22.8515625" style="830" customWidth="1"/>
    <col min="4620" max="4620" width="24.421875" style="830" customWidth="1"/>
    <col min="4621" max="4663" width="12.57421875" style="830" hidden="1" customWidth="1"/>
    <col min="4664" max="4849" width="12.57421875" style="830" customWidth="1"/>
    <col min="4850" max="4850" width="7.140625" style="830" customWidth="1"/>
    <col min="4851" max="4851" width="33.140625" style="830" customWidth="1"/>
    <col min="4852" max="4852" width="48.00390625" style="830" customWidth="1"/>
    <col min="4853" max="4853" width="44.8515625" style="830" customWidth="1"/>
    <col min="4854" max="4854" width="15.7109375" style="830" customWidth="1"/>
    <col min="4855" max="4855" width="10.28125" style="830" bestFit="1" customWidth="1"/>
    <col min="4856" max="4856" width="31.8515625" style="830" customWidth="1"/>
    <col min="4857" max="4857" width="19.8515625" style="830" customWidth="1"/>
    <col min="4858" max="4858" width="12.8515625" style="830" customWidth="1"/>
    <col min="4859" max="4859" width="43.140625" style="830" customWidth="1"/>
    <col min="4860" max="4860" width="12.421875" style="830" bestFit="1" customWidth="1"/>
    <col min="4861" max="4861" width="12.421875" style="830" customWidth="1"/>
    <col min="4862" max="4872" width="5.00390625" style="830" customWidth="1"/>
    <col min="4873" max="4873" width="7.57421875" style="830" customWidth="1"/>
    <col min="4874" max="4874" width="12.28125" style="830" customWidth="1"/>
    <col min="4875" max="4875" width="22.8515625" style="830" customWidth="1"/>
    <col min="4876" max="4876" width="24.421875" style="830" customWidth="1"/>
    <col min="4877" max="4919" width="12.57421875" style="830" hidden="1" customWidth="1"/>
    <col min="4920" max="5105" width="12.57421875" style="830" customWidth="1"/>
    <col min="5106" max="5106" width="7.140625" style="830" customWidth="1"/>
    <col min="5107" max="5107" width="33.140625" style="830" customWidth="1"/>
    <col min="5108" max="5108" width="48.00390625" style="830" customWidth="1"/>
    <col min="5109" max="5109" width="44.8515625" style="830" customWidth="1"/>
    <col min="5110" max="5110" width="15.7109375" style="830" customWidth="1"/>
    <col min="5111" max="5111" width="10.28125" style="830" bestFit="1" customWidth="1"/>
    <col min="5112" max="5112" width="31.8515625" style="830" customWidth="1"/>
    <col min="5113" max="5113" width="19.8515625" style="830" customWidth="1"/>
    <col min="5114" max="5114" width="12.8515625" style="830" customWidth="1"/>
    <col min="5115" max="5115" width="43.140625" style="830" customWidth="1"/>
    <col min="5116" max="5116" width="12.421875" style="830" bestFit="1" customWidth="1"/>
    <col min="5117" max="5117" width="12.421875" style="830" customWidth="1"/>
    <col min="5118" max="5128" width="5.00390625" style="830" customWidth="1"/>
    <col min="5129" max="5129" width="7.57421875" style="830" customWidth="1"/>
    <col min="5130" max="5130" width="12.28125" style="830" customWidth="1"/>
    <col min="5131" max="5131" width="22.8515625" style="830" customWidth="1"/>
    <col min="5132" max="5132" width="24.421875" style="830" customWidth="1"/>
    <col min="5133" max="5175" width="12.57421875" style="830" hidden="1" customWidth="1"/>
    <col min="5176" max="5361" width="12.57421875" style="830" customWidth="1"/>
    <col min="5362" max="5362" width="7.140625" style="830" customWidth="1"/>
    <col min="5363" max="5363" width="33.140625" style="830" customWidth="1"/>
    <col min="5364" max="5364" width="48.00390625" style="830" customWidth="1"/>
    <col min="5365" max="5365" width="44.8515625" style="830" customWidth="1"/>
    <col min="5366" max="5366" width="15.7109375" style="830" customWidth="1"/>
    <col min="5367" max="5367" width="10.28125" style="830" bestFit="1" customWidth="1"/>
    <col min="5368" max="5368" width="31.8515625" style="830" customWidth="1"/>
    <col min="5369" max="5369" width="19.8515625" style="830" customWidth="1"/>
    <col min="5370" max="5370" width="12.8515625" style="830" customWidth="1"/>
    <col min="5371" max="5371" width="43.140625" style="830" customWidth="1"/>
    <col min="5372" max="5372" width="12.421875" style="830" bestFit="1" customWidth="1"/>
    <col min="5373" max="5373" width="12.421875" style="830" customWidth="1"/>
    <col min="5374" max="5384" width="5.00390625" style="830" customWidth="1"/>
    <col min="5385" max="5385" width="7.57421875" style="830" customWidth="1"/>
    <col min="5386" max="5386" width="12.28125" style="830" customWidth="1"/>
    <col min="5387" max="5387" width="22.8515625" style="830" customWidth="1"/>
    <col min="5388" max="5388" width="24.421875" style="830" customWidth="1"/>
    <col min="5389" max="5431" width="12.57421875" style="830" hidden="1" customWidth="1"/>
    <col min="5432" max="5617" width="12.57421875" style="830" customWidth="1"/>
    <col min="5618" max="5618" width="7.140625" style="830" customWidth="1"/>
    <col min="5619" max="5619" width="33.140625" style="830" customWidth="1"/>
    <col min="5620" max="5620" width="48.00390625" style="830" customWidth="1"/>
    <col min="5621" max="5621" width="44.8515625" style="830" customWidth="1"/>
    <col min="5622" max="5622" width="15.7109375" style="830" customWidth="1"/>
    <col min="5623" max="5623" width="10.28125" style="830" bestFit="1" customWidth="1"/>
    <col min="5624" max="5624" width="31.8515625" style="830" customWidth="1"/>
    <col min="5625" max="5625" width="19.8515625" style="830" customWidth="1"/>
    <col min="5626" max="5626" width="12.8515625" style="830" customWidth="1"/>
    <col min="5627" max="5627" width="43.140625" style="830" customWidth="1"/>
    <col min="5628" max="5628" width="12.421875" style="830" bestFit="1" customWidth="1"/>
    <col min="5629" max="5629" width="12.421875" style="830" customWidth="1"/>
    <col min="5630" max="5640" width="5.00390625" style="830" customWidth="1"/>
    <col min="5641" max="5641" width="7.57421875" style="830" customWidth="1"/>
    <col min="5642" max="5642" width="12.28125" style="830" customWidth="1"/>
    <col min="5643" max="5643" width="22.8515625" style="830" customWidth="1"/>
    <col min="5644" max="5644" width="24.421875" style="830" customWidth="1"/>
    <col min="5645" max="5687" width="12.57421875" style="830" hidden="1" customWidth="1"/>
    <col min="5688" max="5873" width="12.57421875" style="830" customWidth="1"/>
    <col min="5874" max="5874" width="7.140625" style="830" customWidth="1"/>
    <col min="5875" max="5875" width="33.140625" style="830" customWidth="1"/>
    <col min="5876" max="5876" width="48.00390625" style="830" customWidth="1"/>
    <col min="5877" max="5877" width="44.8515625" style="830" customWidth="1"/>
    <col min="5878" max="5878" width="15.7109375" style="830" customWidth="1"/>
    <col min="5879" max="5879" width="10.28125" style="830" bestFit="1" customWidth="1"/>
    <col min="5880" max="5880" width="31.8515625" style="830" customWidth="1"/>
    <col min="5881" max="5881" width="19.8515625" style="830" customWidth="1"/>
    <col min="5882" max="5882" width="12.8515625" style="830" customWidth="1"/>
    <col min="5883" max="5883" width="43.140625" style="830" customWidth="1"/>
    <col min="5884" max="5884" width="12.421875" style="830" bestFit="1" customWidth="1"/>
    <col min="5885" max="5885" width="12.421875" style="830" customWidth="1"/>
    <col min="5886" max="5896" width="5.00390625" style="830" customWidth="1"/>
    <col min="5897" max="5897" width="7.57421875" style="830" customWidth="1"/>
    <col min="5898" max="5898" width="12.28125" style="830" customWidth="1"/>
    <col min="5899" max="5899" width="22.8515625" style="830" customWidth="1"/>
    <col min="5900" max="5900" width="24.421875" style="830" customWidth="1"/>
    <col min="5901" max="5943" width="12.57421875" style="830" hidden="1" customWidth="1"/>
    <col min="5944" max="6129" width="12.57421875" style="830" customWidth="1"/>
    <col min="6130" max="6130" width="7.140625" style="830" customWidth="1"/>
    <col min="6131" max="6131" width="33.140625" style="830" customWidth="1"/>
    <col min="6132" max="6132" width="48.00390625" style="830" customWidth="1"/>
    <col min="6133" max="6133" width="44.8515625" style="830" customWidth="1"/>
    <col min="6134" max="6134" width="15.7109375" style="830" customWidth="1"/>
    <col min="6135" max="6135" width="10.28125" style="830" bestFit="1" customWidth="1"/>
    <col min="6136" max="6136" width="31.8515625" style="830" customWidth="1"/>
    <col min="6137" max="6137" width="19.8515625" style="830" customWidth="1"/>
    <col min="6138" max="6138" width="12.8515625" style="830" customWidth="1"/>
    <col min="6139" max="6139" width="43.140625" style="830" customWidth="1"/>
    <col min="6140" max="6140" width="12.421875" style="830" bestFit="1" customWidth="1"/>
    <col min="6141" max="6141" width="12.421875" style="830" customWidth="1"/>
    <col min="6142" max="6152" width="5.00390625" style="830" customWidth="1"/>
    <col min="6153" max="6153" width="7.57421875" style="830" customWidth="1"/>
    <col min="6154" max="6154" width="12.28125" style="830" customWidth="1"/>
    <col min="6155" max="6155" width="22.8515625" style="830" customWidth="1"/>
    <col min="6156" max="6156" width="24.421875" style="830" customWidth="1"/>
    <col min="6157" max="6199" width="12.57421875" style="830" hidden="1" customWidth="1"/>
    <col min="6200" max="6385" width="12.57421875" style="830" customWidth="1"/>
    <col min="6386" max="6386" width="7.140625" style="830" customWidth="1"/>
    <col min="6387" max="6387" width="33.140625" style="830" customWidth="1"/>
    <col min="6388" max="6388" width="48.00390625" style="830" customWidth="1"/>
    <col min="6389" max="6389" width="44.8515625" style="830" customWidth="1"/>
    <col min="6390" max="6390" width="15.7109375" style="830" customWidth="1"/>
    <col min="6391" max="6391" width="10.28125" style="830" bestFit="1" customWidth="1"/>
    <col min="6392" max="6392" width="31.8515625" style="830" customWidth="1"/>
    <col min="6393" max="6393" width="19.8515625" style="830" customWidth="1"/>
    <col min="6394" max="6394" width="12.8515625" style="830" customWidth="1"/>
    <col min="6395" max="6395" width="43.140625" style="830" customWidth="1"/>
    <col min="6396" max="6396" width="12.421875" style="830" bestFit="1" customWidth="1"/>
    <col min="6397" max="6397" width="12.421875" style="830" customWidth="1"/>
    <col min="6398" max="6408" width="5.00390625" style="830" customWidth="1"/>
    <col min="6409" max="6409" width="7.57421875" style="830" customWidth="1"/>
    <col min="6410" max="6410" width="12.28125" style="830" customWidth="1"/>
    <col min="6411" max="6411" width="22.8515625" style="830" customWidth="1"/>
    <col min="6412" max="6412" width="24.421875" style="830" customWidth="1"/>
    <col min="6413" max="6455" width="12.57421875" style="830" hidden="1" customWidth="1"/>
    <col min="6456" max="6641" width="12.57421875" style="830" customWidth="1"/>
    <col min="6642" max="6642" width="7.140625" style="830" customWidth="1"/>
    <col min="6643" max="6643" width="33.140625" style="830" customWidth="1"/>
    <col min="6644" max="6644" width="48.00390625" style="830" customWidth="1"/>
    <col min="6645" max="6645" width="44.8515625" style="830" customWidth="1"/>
    <col min="6646" max="6646" width="15.7109375" style="830" customWidth="1"/>
    <col min="6647" max="6647" width="10.28125" style="830" bestFit="1" customWidth="1"/>
    <col min="6648" max="6648" width="31.8515625" style="830" customWidth="1"/>
    <col min="6649" max="6649" width="19.8515625" style="830" customWidth="1"/>
    <col min="6650" max="6650" width="12.8515625" style="830" customWidth="1"/>
    <col min="6651" max="6651" width="43.140625" style="830" customWidth="1"/>
    <col min="6652" max="6652" width="12.421875" style="830" bestFit="1" customWidth="1"/>
    <col min="6653" max="6653" width="12.421875" style="830" customWidth="1"/>
    <col min="6654" max="6664" width="5.00390625" style="830" customWidth="1"/>
    <col min="6665" max="6665" width="7.57421875" style="830" customWidth="1"/>
    <col min="6666" max="6666" width="12.28125" style="830" customWidth="1"/>
    <col min="6667" max="6667" width="22.8515625" style="830" customWidth="1"/>
    <col min="6668" max="6668" width="24.421875" style="830" customWidth="1"/>
    <col min="6669" max="6711" width="12.57421875" style="830" hidden="1" customWidth="1"/>
    <col min="6712" max="6897" width="12.57421875" style="830" customWidth="1"/>
    <col min="6898" max="6898" width="7.140625" style="830" customWidth="1"/>
    <col min="6899" max="6899" width="33.140625" style="830" customWidth="1"/>
    <col min="6900" max="6900" width="48.00390625" style="830" customWidth="1"/>
    <col min="6901" max="6901" width="44.8515625" style="830" customWidth="1"/>
    <col min="6902" max="6902" width="15.7109375" style="830" customWidth="1"/>
    <col min="6903" max="6903" width="10.28125" style="830" bestFit="1" customWidth="1"/>
    <col min="6904" max="6904" width="31.8515625" style="830" customWidth="1"/>
    <col min="6905" max="6905" width="19.8515625" style="830" customWidth="1"/>
    <col min="6906" max="6906" width="12.8515625" style="830" customWidth="1"/>
    <col min="6907" max="6907" width="43.140625" style="830" customWidth="1"/>
    <col min="6908" max="6908" width="12.421875" style="830" bestFit="1" customWidth="1"/>
    <col min="6909" max="6909" width="12.421875" style="830" customWidth="1"/>
    <col min="6910" max="6920" width="5.00390625" style="830" customWidth="1"/>
    <col min="6921" max="6921" width="7.57421875" style="830" customWidth="1"/>
    <col min="6922" max="6922" width="12.28125" style="830" customWidth="1"/>
    <col min="6923" max="6923" width="22.8515625" style="830" customWidth="1"/>
    <col min="6924" max="6924" width="24.421875" style="830" customWidth="1"/>
    <col min="6925" max="6967" width="12.57421875" style="830" hidden="1" customWidth="1"/>
    <col min="6968" max="7153" width="12.57421875" style="830" customWidth="1"/>
    <col min="7154" max="7154" width="7.140625" style="830" customWidth="1"/>
    <col min="7155" max="7155" width="33.140625" style="830" customWidth="1"/>
    <col min="7156" max="7156" width="48.00390625" style="830" customWidth="1"/>
    <col min="7157" max="7157" width="44.8515625" style="830" customWidth="1"/>
    <col min="7158" max="7158" width="15.7109375" style="830" customWidth="1"/>
    <col min="7159" max="7159" width="10.28125" style="830" bestFit="1" customWidth="1"/>
    <col min="7160" max="7160" width="31.8515625" style="830" customWidth="1"/>
    <col min="7161" max="7161" width="19.8515625" style="830" customWidth="1"/>
    <col min="7162" max="7162" width="12.8515625" style="830" customWidth="1"/>
    <col min="7163" max="7163" width="43.140625" style="830" customWidth="1"/>
    <col min="7164" max="7164" width="12.421875" style="830" bestFit="1" customWidth="1"/>
    <col min="7165" max="7165" width="12.421875" style="830" customWidth="1"/>
    <col min="7166" max="7176" width="5.00390625" style="830" customWidth="1"/>
    <col min="7177" max="7177" width="7.57421875" style="830" customWidth="1"/>
    <col min="7178" max="7178" width="12.28125" style="830" customWidth="1"/>
    <col min="7179" max="7179" width="22.8515625" style="830" customWidth="1"/>
    <col min="7180" max="7180" width="24.421875" style="830" customWidth="1"/>
    <col min="7181" max="7223" width="12.57421875" style="830" hidden="1" customWidth="1"/>
    <col min="7224" max="7409" width="12.57421875" style="830" customWidth="1"/>
    <col min="7410" max="7410" width="7.140625" style="830" customWidth="1"/>
    <col min="7411" max="7411" width="33.140625" style="830" customWidth="1"/>
    <col min="7412" max="7412" width="48.00390625" style="830" customWidth="1"/>
    <col min="7413" max="7413" width="44.8515625" style="830" customWidth="1"/>
    <col min="7414" max="7414" width="15.7109375" style="830" customWidth="1"/>
    <col min="7415" max="7415" width="10.28125" style="830" bestFit="1" customWidth="1"/>
    <col min="7416" max="7416" width="31.8515625" style="830" customWidth="1"/>
    <col min="7417" max="7417" width="19.8515625" style="830" customWidth="1"/>
    <col min="7418" max="7418" width="12.8515625" style="830" customWidth="1"/>
    <col min="7419" max="7419" width="43.140625" style="830" customWidth="1"/>
    <col min="7420" max="7420" width="12.421875" style="830" bestFit="1" customWidth="1"/>
    <col min="7421" max="7421" width="12.421875" style="830" customWidth="1"/>
    <col min="7422" max="7432" width="5.00390625" style="830" customWidth="1"/>
    <col min="7433" max="7433" width="7.57421875" style="830" customWidth="1"/>
    <col min="7434" max="7434" width="12.28125" style="830" customWidth="1"/>
    <col min="7435" max="7435" width="22.8515625" style="830" customWidth="1"/>
    <col min="7436" max="7436" width="24.421875" style="830" customWidth="1"/>
    <col min="7437" max="7479" width="12.57421875" style="830" hidden="1" customWidth="1"/>
    <col min="7480" max="7665" width="12.57421875" style="830" customWidth="1"/>
    <col min="7666" max="7666" width="7.140625" style="830" customWidth="1"/>
    <col min="7667" max="7667" width="33.140625" style="830" customWidth="1"/>
    <col min="7668" max="7668" width="48.00390625" style="830" customWidth="1"/>
    <col min="7669" max="7669" width="44.8515625" style="830" customWidth="1"/>
    <col min="7670" max="7670" width="15.7109375" style="830" customWidth="1"/>
    <col min="7671" max="7671" width="10.28125" style="830" bestFit="1" customWidth="1"/>
    <col min="7672" max="7672" width="31.8515625" style="830" customWidth="1"/>
    <col min="7673" max="7673" width="19.8515625" style="830" customWidth="1"/>
    <col min="7674" max="7674" width="12.8515625" style="830" customWidth="1"/>
    <col min="7675" max="7675" width="43.140625" style="830" customWidth="1"/>
    <col min="7676" max="7676" width="12.421875" style="830" bestFit="1" customWidth="1"/>
    <col min="7677" max="7677" width="12.421875" style="830" customWidth="1"/>
    <col min="7678" max="7688" width="5.00390625" style="830" customWidth="1"/>
    <col min="7689" max="7689" width="7.57421875" style="830" customWidth="1"/>
    <col min="7690" max="7690" width="12.28125" style="830" customWidth="1"/>
    <col min="7691" max="7691" width="22.8515625" style="830" customWidth="1"/>
    <col min="7692" max="7692" width="24.421875" style="830" customWidth="1"/>
    <col min="7693" max="7735" width="12.57421875" style="830" hidden="1" customWidth="1"/>
    <col min="7736" max="7921" width="12.57421875" style="830" customWidth="1"/>
    <col min="7922" max="7922" width="7.140625" style="830" customWidth="1"/>
    <col min="7923" max="7923" width="33.140625" style="830" customWidth="1"/>
    <col min="7924" max="7924" width="48.00390625" style="830" customWidth="1"/>
    <col min="7925" max="7925" width="44.8515625" style="830" customWidth="1"/>
    <col min="7926" max="7926" width="15.7109375" style="830" customWidth="1"/>
    <col min="7927" max="7927" width="10.28125" style="830" bestFit="1" customWidth="1"/>
    <col min="7928" max="7928" width="31.8515625" style="830" customWidth="1"/>
    <col min="7929" max="7929" width="19.8515625" style="830" customWidth="1"/>
    <col min="7930" max="7930" width="12.8515625" style="830" customWidth="1"/>
    <col min="7931" max="7931" width="43.140625" style="830" customWidth="1"/>
    <col min="7932" max="7932" width="12.421875" style="830" bestFit="1" customWidth="1"/>
    <col min="7933" max="7933" width="12.421875" style="830" customWidth="1"/>
    <col min="7934" max="7944" width="5.00390625" style="830" customWidth="1"/>
    <col min="7945" max="7945" width="7.57421875" style="830" customWidth="1"/>
    <col min="7946" max="7946" width="12.28125" style="830" customWidth="1"/>
    <col min="7947" max="7947" width="22.8515625" style="830" customWidth="1"/>
    <col min="7948" max="7948" width="24.421875" style="830" customWidth="1"/>
    <col min="7949" max="7991" width="12.57421875" style="830" hidden="1" customWidth="1"/>
    <col min="7992" max="8177" width="12.57421875" style="830" customWidth="1"/>
    <col min="8178" max="8178" width="7.140625" style="830" customWidth="1"/>
    <col min="8179" max="8179" width="33.140625" style="830" customWidth="1"/>
    <col min="8180" max="8180" width="48.00390625" style="830" customWidth="1"/>
    <col min="8181" max="8181" width="44.8515625" style="830" customWidth="1"/>
    <col min="8182" max="8182" width="15.7109375" style="830" customWidth="1"/>
    <col min="8183" max="8183" width="10.28125" style="830" bestFit="1" customWidth="1"/>
    <col min="8184" max="8184" width="31.8515625" style="830" customWidth="1"/>
    <col min="8185" max="8185" width="19.8515625" style="830" customWidth="1"/>
    <col min="8186" max="8186" width="12.8515625" style="830" customWidth="1"/>
    <col min="8187" max="8187" width="43.140625" style="830" customWidth="1"/>
    <col min="8188" max="8188" width="12.421875" style="830" bestFit="1" customWidth="1"/>
    <col min="8189" max="8189" width="12.421875" style="830" customWidth="1"/>
    <col min="8190" max="8200" width="5.00390625" style="830" customWidth="1"/>
    <col min="8201" max="8201" width="7.57421875" style="830" customWidth="1"/>
    <col min="8202" max="8202" width="12.28125" style="830" customWidth="1"/>
    <col min="8203" max="8203" width="22.8515625" style="830" customWidth="1"/>
    <col min="8204" max="8204" width="24.421875" style="830" customWidth="1"/>
    <col min="8205" max="8247" width="12.57421875" style="830" hidden="1" customWidth="1"/>
    <col min="8248" max="8433" width="12.57421875" style="830" customWidth="1"/>
    <col min="8434" max="8434" width="7.140625" style="830" customWidth="1"/>
    <col min="8435" max="8435" width="33.140625" style="830" customWidth="1"/>
    <col min="8436" max="8436" width="48.00390625" style="830" customWidth="1"/>
    <col min="8437" max="8437" width="44.8515625" style="830" customWidth="1"/>
    <col min="8438" max="8438" width="15.7109375" style="830" customWidth="1"/>
    <col min="8439" max="8439" width="10.28125" style="830" bestFit="1" customWidth="1"/>
    <col min="8440" max="8440" width="31.8515625" style="830" customWidth="1"/>
    <col min="8441" max="8441" width="19.8515625" style="830" customWidth="1"/>
    <col min="8442" max="8442" width="12.8515625" style="830" customWidth="1"/>
    <col min="8443" max="8443" width="43.140625" style="830" customWidth="1"/>
    <col min="8444" max="8444" width="12.421875" style="830" bestFit="1" customWidth="1"/>
    <col min="8445" max="8445" width="12.421875" style="830" customWidth="1"/>
    <col min="8446" max="8456" width="5.00390625" style="830" customWidth="1"/>
    <col min="8457" max="8457" width="7.57421875" style="830" customWidth="1"/>
    <col min="8458" max="8458" width="12.28125" style="830" customWidth="1"/>
    <col min="8459" max="8459" width="22.8515625" style="830" customWidth="1"/>
    <col min="8460" max="8460" width="24.421875" style="830" customWidth="1"/>
    <col min="8461" max="8503" width="12.57421875" style="830" hidden="1" customWidth="1"/>
    <col min="8504" max="8689" width="12.57421875" style="830" customWidth="1"/>
    <col min="8690" max="8690" width="7.140625" style="830" customWidth="1"/>
    <col min="8691" max="8691" width="33.140625" style="830" customWidth="1"/>
    <col min="8692" max="8692" width="48.00390625" style="830" customWidth="1"/>
    <col min="8693" max="8693" width="44.8515625" style="830" customWidth="1"/>
    <col min="8694" max="8694" width="15.7109375" style="830" customWidth="1"/>
    <col min="8695" max="8695" width="10.28125" style="830" bestFit="1" customWidth="1"/>
    <col min="8696" max="8696" width="31.8515625" style="830" customWidth="1"/>
    <col min="8697" max="8697" width="19.8515625" style="830" customWidth="1"/>
    <col min="8698" max="8698" width="12.8515625" style="830" customWidth="1"/>
    <col min="8699" max="8699" width="43.140625" style="830" customWidth="1"/>
    <col min="8700" max="8700" width="12.421875" style="830" bestFit="1" customWidth="1"/>
    <col min="8701" max="8701" width="12.421875" style="830" customWidth="1"/>
    <col min="8702" max="8712" width="5.00390625" style="830" customWidth="1"/>
    <col min="8713" max="8713" width="7.57421875" style="830" customWidth="1"/>
    <col min="8714" max="8714" width="12.28125" style="830" customWidth="1"/>
    <col min="8715" max="8715" width="22.8515625" style="830" customWidth="1"/>
    <col min="8716" max="8716" width="24.421875" style="830" customWidth="1"/>
    <col min="8717" max="8759" width="12.57421875" style="830" hidden="1" customWidth="1"/>
    <col min="8760" max="8945" width="12.57421875" style="830" customWidth="1"/>
    <col min="8946" max="8946" width="7.140625" style="830" customWidth="1"/>
    <col min="8947" max="8947" width="33.140625" style="830" customWidth="1"/>
    <col min="8948" max="8948" width="48.00390625" style="830" customWidth="1"/>
    <col min="8949" max="8949" width="44.8515625" style="830" customWidth="1"/>
    <col min="8950" max="8950" width="15.7109375" style="830" customWidth="1"/>
    <col min="8951" max="8951" width="10.28125" style="830" bestFit="1" customWidth="1"/>
    <col min="8952" max="8952" width="31.8515625" style="830" customWidth="1"/>
    <col min="8953" max="8953" width="19.8515625" style="830" customWidth="1"/>
    <col min="8954" max="8954" width="12.8515625" style="830" customWidth="1"/>
    <col min="8955" max="8955" width="43.140625" style="830" customWidth="1"/>
    <col min="8956" max="8956" width="12.421875" style="830" bestFit="1" customWidth="1"/>
    <col min="8957" max="8957" width="12.421875" style="830" customWidth="1"/>
    <col min="8958" max="8968" width="5.00390625" style="830" customWidth="1"/>
    <col min="8969" max="8969" width="7.57421875" style="830" customWidth="1"/>
    <col min="8970" max="8970" width="12.28125" style="830" customWidth="1"/>
    <col min="8971" max="8971" width="22.8515625" style="830" customWidth="1"/>
    <col min="8972" max="8972" width="24.421875" style="830" customWidth="1"/>
    <col min="8973" max="9015" width="12.57421875" style="830" hidden="1" customWidth="1"/>
    <col min="9016" max="9201" width="12.57421875" style="830" customWidth="1"/>
    <col min="9202" max="9202" width="7.140625" style="830" customWidth="1"/>
    <col min="9203" max="9203" width="33.140625" style="830" customWidth="1"/>
    <col min="9204" max="9204" width="48.00390625" style="830" customWidth="1"/>
    <col min="9205" max="9205" width="44.8515625" style="830" customWidth="1"/>
    <col min="9206" max="9206" width="15.7109375" style="830" customWidth="1"/>
    <col min="9207" max="9207" width="10.28125" style="830" bestFit="1" customWidth="1"/>
    <col min="9208" max="9208" width="31.8515625" style="830" customWidth="1"/>
    <col min="9209" max="9209" width="19.8515625" style="830" customWidth="1"/>
    <col min="9210" max="9210" width="12.8515625" style="830" customWidth="1"/>
    <col min="9211" max="9211" width="43.140625" style="830" customWidth="1"/>
    <col min="9212" max="9212" width="12.421875" style="830" bestFit="1" customWidth="1"/>
    <col min="9213" max="9213" width="12.421875" style="830" customWidth="1"/>
    <col min="9214" max="9224" width="5.00390625" style="830" customWidth="1"/>
    <col min="9225" max="9225" width="7.57421875" style="830" customWidth="1"/>
    <col min="9226" max="9226" width="12.28125" style="830" customWidth="1"/>
    <col min="9227" max="9227" width="22.8515625" style="830" customWidth="1"/>
    <col min="9228" max="9228" width="24.421875" style="830" customWidth="1"/>
    <col min="9229" max="9271" width="12.57421875" style="830" hidden="1" customWidth="1"/>
    <col min="9272" max="9457" width="12.57421875" style="830" customWidth="1"/>
    <col min="9458" max="9458" width="7.140625" style="830" customWidth="1"/>
    <col min="9459" max="9459" width="33.140625" style="830" customWidth="1"/>
    <col min="9460" max="9460" width="48.00390625" style="830" customWidth="1"/>
    <col min="9461" max="9461" width="44.8515625" style="830" customWidth="1"/>
    <col min="9462" max="9462" width="15.7109375" style="830" customWidth="1"/>
    <col min="9463" max="9463" width="10.28125" style="830" bestFit="1" customWidth="1"/>
    <col min="9464" max="9464" width="31.8515625" style="830" customWidth="1"/>
    <col min="9465" max="9465" width="19.8515625" style="830" customWidth="1"/>
    <col min="9466" max="9466" width="12.8515625" style="830" customWidth="1"/>
    <col min="9467" max="9467" width="43.140625" style="830" customWidth="1"/>
    <col min="9468" max="9468" width="12.421875" style="830" bestFit="1" customWidth="1"/>
    <col min="9469" max="9469" width="12.421875" style="830" customWidth="1"/>
    <col min="9470" max="9480" width="5.00390625" style="830" customWidth="1"/>
    <col min="9481" max="9481" width="7.57421875" style="830" customWidth="1"/>
    <col min="9482" max="9482" width="12.28125" style="830" customWidth="1"/>
    <col min="9483" max="9483" width="22.8515625" style="830" customWidth="1"/>
    <col min="9484" max="9484" width="24.421875" style="830" customWidth="1"/>
    <col min="9485" max="9527" width="12.57421875" style="830" hidden="1" customWidth="1"/>
    <col min="9528" max="9713" width="12.57421875" style="830" customWidth="1"/>
    <col min="9714" max="9714" width="7.140625" style="830" customWidth="1"/>
    <col min="9715" max="9715" width="33.140625" style="830" customWidth="1"/>
    <col min="9716" max="9716" width="48.00390625" style="830" customWidth="1"/>
    <col min="9717" max="9717" width="44.8515625" style="830" customWidth="1"/>
    <col min="9718" max="9718" width="15.7109375" style="830" customWidth="1"/>
    <col min="9719" max="9719" width="10.28125" style="830" bestFit="1" customWidth="1"/>
    <col min="9720" max="9720" width="31.8515625" style="830" customWidth="1"/>
    <col min="9721" max="9721" width="19.8515625" style="830" customWidth="1"/>
    <col min="9722" max="9722" width="12.8515625" style="830" customWidth="1"/>
    <col min="9723" max="9723" width="43.140625" style="830" customWidth="1"/>
    <col min="9724" max="9724" width="12.421875" style="830" bestFit="1" customWidth="1"/>
    <col min="9725" max="9725" width="12.421875" style="830" customWidth="1"/>
    <col min="9726" max="9736" width="5.00390625" style="830" customWidth="1"/>
    <col min="9737" max="9737" width="7.57421875" style="830" customWidth="1"/>
    <col min="9738" max="9738" width="12.28125" style="830" customWidth="1"/>
    <col min="9739" max="9739" width="22.8515625" style="830" customWidth="1"/>
    <col min="9740" max="9740" width="24.421875" style="830" customWidth="1"/>
    <col min="9741" max="9783" width="12.57421875" style="830" hidden="1" customWidth="1"/>
    <col min="9784" max="9969" width="12.57421875" style="830" customWidth="1"/>
    <col min="9970" max="9970" width="7.140625" style="830" customWidth="1"/>
    <col min="9971" max="9971" width="33.140625" style="830" customWidth="1"/>
    <col min="9972" max="9972" width="48.00390625" style="830" customWidth="1"/>
    <col min="9973" max="9973" width="44.8515625" style="830" customWidth="1"/>
    <col min="9974" max="9974" width="15.7109375" style="830" customWidth="1"/>
    <col min="9975" max="9975" width="10.28125" style="830" bestFit="1" customWidth="1"/>
    <col min="9976" max="9976" width="31.8515625" style="830" customWidth="1"/>
    <col min="9977" max="9977" width="19.8515625" style="830" customWidth="1"/>
    <col min="9978" max="9978" width="12.8515625" style="830" customWidth="1"/>
    <col min="9979" max="9979" width="43.140625" style="830" customWidth="1"/>
    <col min="9980" max="9980" width="12.421875" style="830" bestFit="1" customWidth="1"/>
    <col min="9981" max="9981" width="12.421875" style="830" customWidth="1"/>
    <col min="9982" max="9992" width="5.00390625" style="830" customWidth="1"/>
    <col min="9993" max="9993" width="7.57421875" style="830" customWidth="1"/>
    <col min="9994" max="9994" width="12.28125" style="830" customWidth="1"/>
    <col min="9995" max="9995" width="22.8515625" style="830" customWidth="1"/>
    <col min="9996" max="9996" width="24.421875" style="830" customWidth="1"/>
    <col min="9997" max="10039" width="12.57421875" style="830" hidden="1" customWidth="1"/>
    <col min="10040" max="10225" width="12.57421875" style="830" customWidth="1"/>
    <col min="10226" max="10226" width="7.140625" style="830" customWidth="1"/>
    <col min="10227" max="10227" width="33.140625" style="830" customWidth="1"/>
    <col min="10228" max="10228" width="48.00390625" style="830" customWidth="1"/>
    <col min="10229" max="10229" width="44.8515625" style="830" customWidth="1"/>
    <col min="10230" max="10230" width="15.7109375" style="830" customWidth="1"/>
    <col min="10231" max="10231" width="10.28125" style="830" bestFit="1" customWidth="1"/>
    <col min="10232" max="10232" width="31.8515625" style="830" customWidth="1"/>
    <col min="10233" max="10233" width="19.8515625" style="830" customWidth="1"/>
    <col min="10234" max="10234" width="12.8515625" style="830" customWidth="1"/>
    <col min="10235" max="10235" width="43.140625" style="830" customWidth="1"/>
    <col min="10236" max="10236" width="12.421875" style="830" bestFit="1" customWidth="1"/>
    <col min="10237" max="10237" width="12.421875" style="830" customWidth="1"/>
    <col min="10238" max="10248" width="5.00390625" style="830" customWidth="1"/>
    <col min="10249" max="10249" width="7.57421875" style="830" customWidth="1"/>
    <col min="10250" max="10250" width="12.28125" style="830" customWidth="1"/>
    <col min="10251" max="10251" width="22.8515625" style="830" customWidth="1"/>
    <col min="10252" max="10252" width="24.421875" style="830" customWidth="1"/>
    <col min="10253" max="10295" width="12.57421875" style="830" hidden="1" customWidth="1"/>
    <col min="10296" max="10481" width="12.57421875" style="830" customWidth="1"/>
    <col min="10482" max="10482" width="7.140625" style="830" customWidth="1"/>
    <col min="10483" max="10483" width="33.140625" style="830" customWidth="1"/>
    <col min="10484" max="10484" width="48.00390625" style="830" customWidth="1"/>
    <col min="10485" max="10485" width="44.8515625" style="830" customWidth="1"/>
    <col min="10486" max="10486" width="15.7109375" style="830" customWidth="1"/>
    <col min="10487" max="10487" width="10.28125" style="830" bestFit="1" customWidth="1"/>
    <col min="10488" max="10488" width="31.8515625" style="830" customWidth="1"/>
    <col min="10489" max="10489" width="19.8515625" style="830" customWidth="1"/>
    <col min="10490" max="10490" width="12.8515625" style="830" customWidth="1"/>
    <col min="10491" max="10491" width="43.140625" style="830" customWidth="1"/>
    <col min="10492" max="10492" width="12.421875" style="830" bestFit="1" customWidth="1"/>
    <col min="10493" max="10493" width="12.421875" style="830" customWidth="1"/>
    <col min="10494" max="10504" width="5.00390625" style="830" customWidth="1"/>
    <col min="10505" max="10505" width="7.57421875" style="830" customWidth="1"/>
    <col min="10506" max="10506" width="12.28125" style="830" customWidth="1"/>
    <col min="10507" max="10507" width="22.8515625" style="830" customWidth="1"/>
    <col min="10508" max="10508" width="24.421875" style="830" customWidth="1"/>
    <col min="10509" max="10551" width="12.57421875" style="830" hidden="1" customWidth="1"/>
    <col min="10552" max="10737" width="12.57421875" style="830" customWidth="1"/>
    <col min="10738" max="10738" width="7.140625" style="830" customWidth="1"/>
    <col min="10739" max="10739" width="33.140625" style="830" customWidth="1"/>
    <col min="10740" max="10740" width="48.00390625" style="830" customWidth="1"/>
    <col min="10741" max="10741" width="44.8515625" style="830" customWidth="1"/>
    <col min="10742" max="10742" width="15.7109375" style="830" customWidth="1"/>
    <col min="10743" max="10743" width="10.28125" style="830" bestFit="1" customWidth="1"/>
    <col min="10744" max="10744" width="31.8515625" style="830" customWidth="1"/>
    <col min="10745" max="10745" width="19.8515625" style="830" customWidth="1"/>
    <col min="10746" max="10746" width="12.8515625" style="830" customWidth="1"/>
    <col min="10747" max="10747" width="43.140625" style="830" customWidth="1"/>
    <col min="10748" max="10748" width="12.421875" style="830" bestFit="1" customWidth="1"/>
    <col min="10749" max="10749" width="12.421875" style="830" customWidth="1"/>
    <col min="10750" max="10760" width="5.00390625" style="830" customWidth="1"/>
    <col min="10761" max="10761" width="7.57421875" style="830" customWidth="1"/>
    <col min="10762" max="10762" width="12.28125" style="830" customWidth="1"/>
    <col min="10763" max="10763" width="22.8515625" style="830" customWidth="1"/>
    <col min="10764" max="10764" width="24.421875" style="830" customWidth="1"/>
    <col min="10765" max="10807" width="12.57421875" style="830" hidden="1" customWidth="1"/>
    <col min="10808" max="10993" width="12.57421875" style="830" customWidth="1"/>
    <col min="10994" max="10994" width="7.140625" style="830" customWidth="1"/>
    <col min="10995" max="10995" width="33.140625" style="830" customWidth="1"/>
    <col min="10996" max="10996" width="48.00390625" style="830" customWidth="1"/>
    <col min="10997" max="10997" width="44.8515625" style="830" customWidth="1"/>
    <col min="10998" max="10998" width="15.7109375" style="830" customWidth="1"/>
    <col min="10999" max="10999" width="10.28125" style="830" bestFit="1" customWidth="1"/>
    <col min="11000" max="11000" width="31.8515625" style="830" customWidth="1"/>
    <col min="11001" max="11001" width="19.8515625" style="830" customWidth="1"/>
    <col min="11002" max="11002" width="12.8515625" style="830" customWidth="1"/>
    <col min="11003" max="11003" width="43.140625" style="830" customWidth="1"/>
    <col min="11004" max="11004" width="12.421875" style="830" bestFit="1" customWidth="1"/>
    <col min="11005" max="11005" width="12.421875" style="830" customWidth="1"/>
    <col min="11006" max="11016" width="5.00390625" style="830" customWidth="1"/>
    <col min="11017" max="11017" width="7.57421875" style="830" customWidth="1"/>
    <col min="11018" max="11018" width="12.28125" style="830" customWidth="1"/>
    <col min="11019" max="11019" width="22.8515625" style="830" customWidth="1"/>
    <col min="11020" max="11020" width="24.421875" style="830" customWidth="1"/>
    <col min="11021" max="11063" width="12.57421875" style="830" hidden="1" customWidth="1"/>
    <col min="11064" max="11249" width="12.57421875" style="830" customWidth="1"/>
    <col min="11250" max="11250" width="7.140625" style="830" customWidth="1"/>
    <col min="11251" max="11251" width="33.140625" style="830" customWidth="1"/>
    <col min="11252" max="11252" width="48.00390625" style="830" customWidth="1"/>
    <col min="11253" max="11253" width="44.8515625" style="830" customWidth="1"/>
    <col min="11254" max="11254" width="15.7109375" style="830" customWidth="1"/>
    <col min="11255" max="11255" width="10.28125" style="830" bestFit="1" customWidth="1"/>
    <col min="11256" max="11256" width="31.8515625" style="830" customWidth="1"/>
    <col min="11257" max="11257" width="19.8515625" style="830" customWidth="1"/>
    <col min="11258" max="11258" width="12.8515625" style="830" customWidth="1"/>
    <col min="11259" max="11259" width="43.140625" style="830" customWidth="1"/>
    <col min="11260" max="11260" width="12.421875" style="830" bestFit="1" customWidth="1"/>
    <col min="11261" max="11261" width="12.421875" style="830" customWidth="1"/>
    <col min="11262" max="11272" width="5.00390625" style="830" customWidth="1"/>
    <col min="11273" max="11273" width="7.57421875" style="830" customWidth="1"/>
    <col min="11274" max="11274" width="12.28125" style="830" customWidth="1"/>
    <col min="11275" max="11275" width="22.8515625" style="830" customWidth="1"/>
    <col min="11276" max="11276" width="24.421875" style="830" customWidth="1"/>
    <col min="11277" max="11319" width="12.57421875" style="830" hidden="1" customWidth="1"/>
    <col min="11320" max="11505" width="12.57421875" style="830" customWidth="1"/>
    <col min="11506" max="11506" width="7.140625" style="830" customWidth="1"/>
    <col min="11507" max="11507" width="33.140625" style="830" customWidth="1"/>
    <col min="11508" max="11508" width="48.00390625" style="830" customWidth="1"/>
    <col min="11509" max="11509" width="44.8515625" style="830" customWidth="1"/>
    <col min="11510" max="11510" width="15.7109375" style="830" customWidth="1"/>
    <col min="11511" max="11511" width="10.28125" style="830" bestFit="1" customWidth="1"/>
    <col min="11512" max="11512" width="31.8515625" style="830" customWidth="1"/>
    <col min="11513" max="11513" width="19.8515625" style="830" customWidth="1"/>
    <col min="11514" max="11514" width="12.8515625" style="830" customWidth="1"/>
    <col min="11515" max="11515" width="43.140625" style="830" customWidth="1"/>
    <col min="11516" max="11516" width="12.421875" style="830" bestFit="1" customWidth="1"/>
    <col min="11517" max="11517" width="12.421875" style="830" customWidth="1"/>
    <col min="11518" max="11528" width="5.00390625" style="830" customWidth="1"/>
    <col min="11529" max="11529" width="7.57421875" style="830" customWidth="1"/>
    <col min="11530" max="11530" width="12.28125" style="830" customWidth="1"/>
    <col min="11531" max="11531" width="22.8515625" style="830" customWidth="1"/>
    <col min="11532" max="11532" width="24.421875" style="830" customWidth="1"/>
    <col min="11533" max="11575" width="12.57421875" style="830" hidden="1" customWidth="1"/>
    <col min="11576" max="11761" width="12.57421875" style="830" customWidth="1"/>
    <col min="11762" max="11762" width="7.140625" style="830" customWidth="1"/>
    <col min="11763" max="11763" width="33.140625" style="830" customWidth="1"/>
    <col min="11764" max="11764" width="48.00390625" style="830" customWidth="1"/>
    <col min="11765" max="11765" width="44.8515625" style="830" customWidth="1"/>
    <col min="11766" max="11766" width="15.7109375" style="830" customWidth="1"/>
    <col min="11767" max="11767" width="10.28125" style="830" bestFit="1" customWidth="1"/>
    <col min="11768" max="11768" width="31.8515625" style="830" customWidth="1"/>
    <col min="11769" max="11769" width="19.8515625" style="830" customWidth="1"/>
    <col min="11770" max="11770" width="12.8515625" style="830" customWidth="1"/>
    <col min="11771" max="11771" width="43.140625" style="830" customWidth="1"/>
    <col min="11772" max="11772" width="12.421875" style="830" bestFit="1" customWidth="1"/>
    <col min="11773" max="11773" width="12.421875" style="830" customWidth="1"/>
    <col min="11774" max="11784" width="5.00390625" style="830" customWidth="1"/>
    <col min="11785" max="11785" width="7.57421875" style="830" customWidth="1"/>
    <col min="11786" max="11786" width="12.28125" style="830" customWidth="1"/>
    <col min="11787" max="11787" width="22.8515625" style="830" customWidth="1"/>
    <col min="11788" max="11788" width="24.421875" style="830" customWidth="1"/>
    <col min="11789" max="11831" width="12.57421875" style="830" hidden="1" customWidth="1"/>
    <col min="11832" max="12017" width="12.57421875" style="830" customWidth="1"/>
    <col min="12018" max="12018" width="7.140625" style="830" customWidth="1"/>
    <col min="12019" max="12019" width="33.140625" style="830" customWidth="1"/>
    <col min="12020" max="12020" width="48.00390625" style="830" customWidth="1"/>
    <col min="12021" max="12021" width="44.8515625" style="830" customWidth="1"/>
    <col min="12022" max="12022" width="15.7109375" style="830" customWidth="1"/>
    <col min="12023" max="12023" width="10.28125" style="830" bestFit="1" customWidth="1"/>
    <col min="12024" max="12024" width="31.8515625" style="830" customWidth="1"/>
    <col min="12025" max="12025" width="19.8515625" style="830" customWidth="1"/>
    <col min="12026" max="12026" width="12.8515625" style="830" customWidth="1"/>
    <col min="12027" max="12027" width="43.140625" style="830" customWidth="1"/>
    <col min="12028" max="12028" width="12.421875" style="830" bestFit="1" customWidth="1"/>
    <col min="12029" max="12029" width="12.421875" style="830" customWidth="1"/>
    <col min="12030" max="12040" width="5.00390625" style="830" customWidth="1"/>
    <col min="12041" max="12041" width="7.57421875" style="830" customWidth="1"/>
    <col min="12042" max="12042" width="12.28125" style="830" customWidth="1"/>
    <col min="12043" max="12043" width="22.8515625" style="830" customWidth="1"/>
    <col min="12044" max="12044" width="24.421875" style="830" customWidth="1"/>
    <col min="12045" max="12087" width="12.57421875" style="830" hidden="1" customWidth="1"/>
    <col min="12088" max="12273" width="12.57421875" style="830" customWidth="1"/>
    <col min="12274" max="12274" width="7.140625" style="830" customWidth="1"/>
    <col min="12275" max="12275" width="33.140625" style="830" customWidth="1"/>
    <col min="12276" max="12276" width="48.00390625" style="830" customWidth="1"/>
    <col min="12277" max="12277" width="44.8515625" style="830" customWidth="1"/>
    <col min="12278" max="12278" width="15.7109375" style="830" customWidth="1"/>
    <col min="12279" max="12279" width="10.28125" style="830" bestFit="1" customWidth="1"/>
    <col min="12280" max="12280" width="31.8515625" style="830" customWidth="1"/>
    <col min="12281" max="12281" width="19.8515625" style="830" customWidth="1"/>
    <col min="12282" max="12282" width="12.8515625" style="830" customWidth="1"/>
    <col min="12283" max="12283" width="43.140625" style="830" customWidth="1"/>
    <col min="12284" max="12284" width="12.421875" style="830" bestFit="1" customWidth="1"/>
    <col min="12285" max="12285" width="12.421875" style="830" customWidth="1"/>
    <col min="12286" max="12296" width="5.00390625" style="830" customWidth="1"/>
    <col min="12297" max="12297" width="7.57421875" style="830" customWidth="1"/>
    <col min="12298" max="12298" width="12.28125" style="830" customWidth="1"/>
    <col min="12299" max="12299" width="22.8515625" style="830" customWidth="1"/>
    <col min="12300" max="12300" width="24.421875" style="830" customWidth="1"/>
    <col min="12301" max="12343" width="12.57421875" style="830" hidden="1" customWidth="1"/>
    <col min="12344" max="12529" width="12.57421875" style="830" customWidth="1"/>
    <col min="12530" max="12530" width="7.140625" style="830" customWidth="1"/>
    <col min="12531" max="12531" width="33.140625" style="830" customWidth="1"/>
    <col min="12532" max="12532" width="48.00390625" style="830" customWidth="1"/>
    <col min="12533" max="12533" width="44.8515625" style="830" customWidth="1"/>
    <col min="12534" max="12534" width="15.7109375" style="830" customWidth="1"/>
    <col min="12535" max="12535" width="10.28125" style="830" bestFit="1" customWidth="1"/>
    <col min="12536" max="12536" width="31.8515625" style="830" customWidth="1"/>
    <col min="12537" max="12537" width="19.8515625" style="830" customWidth="1"/>
    <col min="12538" max="12538" width="12.8515625" style="830" customWidth="1"/>
    <col min="12539" max="12539" width="43.140625" style="830" customWidth="1"/>
    <col min="12540" max="12540" width="12.421875" style="830" bestFit="1" customWidth="1"/>
    <col min="12541" max="12541" width="12.421875" style="830" customWidth="1"/>
    <col min="12542" max="12552" width="5.00390625" style="830" customWidth="1"/>
    <col min="12553" max="12553" width="7.57421875" style="830" customWidth="1"/>
    <col min="12554" max="12554" width="12.28125" style="830" customWidth="1"/>
    <col min="12555" max="12555" width="22.8515625" style="830" customWidth="1"/>
    <col min="12556" max="12556" width="24.421875" style="830" customWidth="1"/>
    <col min="12557" max="12599" width="12.57421875" style="830" hidden="1" customWidth="1"/>
    <col min="12600" max="12785" width="12.57421875" style="830" customWidth="1"/>
    <col min="12786" max="12786" width="7.140625" style="830" customWidth="1"/>
    <col min="12787" max="12787" width="33.140625" style="830" customWidth="1"/>
    <col min="12788" max="12788" width="48.00390625" style="830" customWidth="1"/>
    <col min="12789" max="12789" width="44.8515625" style="830" customWidth="1"/>
    <col min="12790" max="12790" width="15.7109375" style="830" customWidth="1"/>
    <col min="12791" max="12791" width="10.28125" style="830" bestFit="1" customWidth="1"/>
    <col min="12792" max="12792" width="31.8515625" style="830" customWidth="1"/>
    <col min="12793" max="12793" width="19.8515625" style="830" customWidth="1"/>
    <col min="12794" max="12794" width="12.8515625" style="830" customWidth="1"/>
    <col min="12795" max="12795" width="43.140625" style="830" customWidth="1"/>
    <col min="12796" max="12796" width="12.421875" style="830" bestFit="1" customWidth="1"/>
    <col min="12797" max="12797" width="12.421875" style="830" customWidth="1"/>
    <col min="12798" max="12808" width="5.00390625" style="830" customWidth="1"/>
    <col min="12809" max="12809" width="7.57421875" style="830" customWidth="1"/>
    <col min="12810" max="12810" width="12.28125" style="830" customWidth="1"/>
    <col min="12811" max="12811" width="22.8515625" style="830" customWidth="1"/>
    <col min="12812" max="12812" width="24.421875" style="830" customWidth="1"/>
    <col min="12813" max="12855" width="12.57421875" style="830" hidden="1" customWidth="1"/>
    <col min="12856" max="13041" width="12.57421875" style="830" customWidth="1"/>
    <col min="13042" max="13042" width="7.140625" style="830" customWidth="1"/>
    <col min="13043" max="13043" width="33.140625" style="830" customWidth="1"/>
    <col min="13044" max="13044" width="48.00390625" style="830" customWidth="1"/>
    <col min="13045" max="13045" width="44.8515625" style="830" customWidth="1"/>
    <col min="13046" max="13046" width="15.7109375" style="830" customWidth="1"/>
    <col min="13047" max="13047" width="10.28125" style="830" bestFit="1" customWidth="1"/>
    <col min="13048" max="13048" width="31.8515625" style="830" customWidth="1"/>
    <col min="13049" max="13049" width="19.8515625" style="830" customWidth="1"/>
    <col min="13050" max="13050" width="12.8515625" style="830" customWidth="1"/>
    <col min="13051" max="13051" width="43.140625" style="830" customWidth="1"/>
    <col min="13052" max="13052" width="12.421875" style="830" bestFit="1" customWidth="1"/>
    <col min="13053" max="13053" width="12.421875" style="830" customWidth="1"/>
    <col min="13054" max="13064" width="5.00390625" style="830" customWidth="1"/>
    <col min="13065" max="13065" width="7.57421875" style="830" customWidth="1"/>
    <col min="13066" max="13066" width="12.28125" style="830" customWidth="1"/>
    <col min="13067" max="13067" width="22.8515625" style="830" customWidth="1"/>
    <col min="13068" max="13068" width="24.421875" style="830" customWidth="1"/>
    <col min="13069" max="13111" width="12.57421875" style="830" hidden="1" customWidth="1"/>
    <col min="13112" max="13297" width="12.57421875" style="830" customWidth="1"/>
    <col min="13298" max="13298" width="7.140625" style="830" customWidth="1"/>
    <col min="13299" max="13299" width="33.140625" style="830" customWidth="1"/>
    <col min="13300" max="13300" width="48.00390625" style="830" customWidth="1"/>
    <col min="13301" max="13301" width="44.8515625" style="830" customWidth="1"/>
    <col min="13302" max="13302" width="15.7109375" style="830" customWidth="1"/>
    <col min="13303" max="13303" width="10.28125" style="830" bestFit="1" customWidth="1"/>
    <col min="13304" max="13304" width="31.8515625" style="830" customWidth="1"/>
    <col min="13305" max="13305" width="19.8515625" style="830" customWidth="1"/>
    <col min="13306" max="13306" width="12.8515625" style="830" customWidth="1"/>
    <col min="13307" max="13307" width="43.140625" style="830" customWidth="1"/>
    <col min="13308" max="13308" width="12.421875" style="830" bestFit="1" customWidth="1"/>
    <col min="13309" max="13309" width="12.421875" style="830" customWidth="1"/>
    <col min="13310" max="13320" width="5.00390625" style="830" customWidth="1"/>
    <col min="13321" max="13321" width="7.57421875" style="830" customWidth="1"/>
    <col min="13322" max="13322" width="12.28125" style="830" customWidth="1"/>
    <col min="13323" max="13323" width="22.8515625" style="830" customWidth="1"/>
    <col min="13324" max="13324" width="24.421875" style="830" customWidth="1"/>
    <col min="13325" max="13367" width="12.57421875" style="830" hidden="1" customWidth="1"/>
    <col min="13368" max="13553" width="12.57421875" style="830" customWidth="1"/>
    <col min="13554" max="13554" width="7.140625" style="830" customWidth="1"/>
    <col min="13555" max="13555" width="33.140625" style="830" customWidth="1"/>
    <col min="13556" max="13556" width="48.00390625" style="830" customWidth="1"/>
    <col min="13557" max="13557" width="44.8515625" style="830" customWidth="1"/>
    <col min="13558" max="13558" width="15.7109375" style="830" customWidth="1"/>
    <col min="13559" max="13559" width="10.28125" style="830" bestFit="1" customWidth="1"/>
    <col min="13560" max="13560" width="31.8515625" style="830" customWidth="1"/>
    <col min="13561" max="13561" width="19.8515625" style="830" customWidth="1"/>
    <col min="13562" max="13562" width="12.8515625" style="830" customWidth="1"/>
    <col min="13563" max="13563" width="43.140625" style="830" customWidth="1"/>
    <col min="13564" max="13564" width="12.421875" style="830" bestFit="1" customWidth="1"/>
    <col min="13565" max="13565" width="12.421875" style="830" customWidth="1"/>
    <col min="13566" max="13576" width="5.00390625" style="830" customWidth="1"/>
    <col min="13577" max="13577" width="7.57421875" style="830" customWidth="1"/>
    <col min="13578" max="13578" width="12.28125" style="830" customWidth="1"/>
    <col min="13579" max="13579" width="22.8515625" style="830" customWidth="1"/>
    <col min="13580" max="13580" width="24.421875" style="830" customWidth="1"/>
    <col min="13581" max="13623" width="12.57421875" style="830" hidden="1" customWidth="1"/>
    <col min="13624" max="13809" width="12.57421875" style="830" customWidth="1"/>
    <col min="13810" max="13810" width="7.140625" style="830" customWidth="1"/>
    <col min="13811" max="13811" width="33.140625" style="830" customWidth="1"/>
    <col min="13812" max="13812" width="48.00390625" style="830" customWidth="1"/>
    <col min="13813" max="13813" width="44.8515625" style="830" customWidth="1"/>
    <col min="13814" max="13814" width="15.7109375" style="830" customWidth="1"/>
    <col min="13815" max="13815" width="10.28125" style="830" bestFit="1" customWidth="1"/>
    <col min="13816" max="13816" width="31.8515625" style="830" customWidth="1"/>
    <col min="13817" max="13817" width="19.8515625" style="830" customWidth="1"/>
    <col min="13818" max="13818" width="12.8515625" style="830" customWidth="1"/>
    <col min="13819" max="13819" width="43.140625" style="830" customWidth="1"/>
    <col min="13820" max="13820" width="12.421875" style="830" bestFit="1" customWidth="1"/>
    <col min="13821" max="13821" width="12.421875" style="830" customWidth="1"/>
    <col min="13822" max="13832" width="5.00390625" style="830" customWidth="1"/>
    <col min="13833" max="13833" width="7.57421875" style="830" customWidth="1"/>
    <col min="13834" max="13834" width="12.28125" style="830" customWidth="1"/>
    <col min="13835" max="13835" width="22.8515625" style="830" customWidth="1"/>
    <col min="13836" max="13836" width="24.421875" style="830" customWidth="1"/>
    <col min="13837" max="13879" width="12.57421875" style="830" hidden="1" customWidth="1"/>
    <col min="13880" max="14065" width="12.57421875" style="830" customWidth="1"/>
    <col min="14066" max="14066" width="7.140625" style="830" customWidth="1"/>
    <col min="14067" max="14067" width="33.140625" style="830" customWidth="1"/>
    <col min="14068" max="14068" width="48.00390625" style="830" customWidth="1"/>
    <col min="14069" max="14069" width="44.8515625" style="830" customWidth="1"/>
    <col min="14070" max="14070" width="15.7109375" style="830" customWidth="1"/>
    <col min="14071" max="14071" width="10.28125" style="830" bestFit="1" customWidth="1"/>
    <col min="14072" max="14072" width="31.8515625" style="830" customWidth="1"/>
    <col min="14073" max="14073" width="19.8515625" style="830" customWidth="1"/>
    <col min="14074" max="14074" width="12.8515625" style="830" customWidth="1"/>
    <col min="14075" max="14075" width="43.140625" style="830" customWidth="1"/>
    <col min="14076" max="14076" width="12.421875" style="830" bestFit="1" customWidth="1"/>
    <col min="14077" max="14077" width="12.421875" style="830" customWidth="1"/>
    <col min="14078" max="14088" width="5.00390625" style="830" customWidth="1"/>
    <col min="14089" max="14089" width="7.57421875" style="830" customWidth="1"/>
    <col min="14090" max="14090" width="12.28125" style="830" customWidth="1"/>
    <col min="14091" max="14091" width="22.8515625" style="830" customWidth="1"/>
    <col min="14092" max="14092" width="24.421875" style="830" customWidth="1"/>
    <col min="14093" max="14135" width="12.57421875" style="830" hidden="1" customWidth="1"/>
    <col min="14136" max="14321" width="12.57421875" style="830" customWidth="1"/>
    <col min="14322" max="14322" width="7.140625" style="830" customWidth="1"/>
    <col min="14323" max="14323" width="33.140625" style="830" customWidth="1"/>
    <col min="14324" max="14324" width="48.00390625" style="830" customWidth="1"/>
    <col min="14325" max="14325" width="44.8515625" style="830" customWidth="1"/>
    <col min="14326" max="14326" width="15.7109375" style="830" customWidth="1"/>
    <col min="14327" max="14327" width="10.28125" style="830" bestFit="1" customWidth="1"/>
    <col min="14328" max="14328" width="31.8515625" style="830" customWidth="1"/>
    <col min="14329" max="14329" width="19.8515625" style="830" customWidth="1"/>
    <col min="14330" max="14330" width="12.8515625" style="830" customWidth="1"/>
    <col min="14331" max="14331" width="43.140625" style="830" customWidth="1"/>
    <col min="14332" max="14332" width="12.421875" style="830" bestFit="1" customWidth="1"/>
    <col min="14333" max="14333" width="12.421875" style="830" customWidth="1"/>
    <col min="14334" max="14344" width="5.00390625" style="830" customWidth="1"/>
    <col min="14345" max="14345" width="7.57421875" style="830" customWidth="1"/>
    <col min="14346" max="14346" width="12.28125" style="830" customWidth="1"/>
    <col min="14347" max="14347" width="22.8515625" style="830" customWidth="1"/>
    <col min="14348" max="14348" width="24.421875" style="830" customWidth="1"/>
    <col min="14349" max="14391" width="12.57421875" style="830" hidden="1" customWidth="1"/>
    <col min="14392" max="14577" width="12.57421875" style="830" customWidth="1"/>
    <col min="14578" max="14578" width="7.140625" style="830" customWidth="1"/>
    <col min="14579" max="14579" width="33.140625" style="830" customWidth="1"/>
    <col min="14580" max="14580" width="48.00390625" style="830" customWidth="1"/>
    <col min="14581" max="14581" width="44.8515625" style="830" customWidth="1"/>
    <col min="14582" max="14582" width="15.7109375" style="830" customWidth="1"/>
    <col min="14583" max="14583" width="10.28125" style="830" bestFit="1" customWidth="1"/>
    <col min="14584" max="14584" width="31.8515625" style="830" customWidth="1"/>
    <col min="14585" max="14585" width="19.8515625" style="830" customWidth="1"/>
    <col min="14586" max="14586" width="12.8515625" style="830" customWidth="1"/>
    <col min="14587" max="14587" width="43.140625" style="830" customWidth="1"/>
    <col min="14588" max="14588" width="12.421875" style="830" bestFit="1" customWidth="1"/>
    <col min="14589" max="14589" width="12.421875" style="830" customWidth="1"/>
    <col min="14590" max="14600" width="5.00390625" style="830" customWidth="1"/>
    <col min="14601" max="14601" width="7.57421875" style="830" customWidth="1"/>
    <col min="14602" max="14602" width="12.28125" style="830" customWidth="1"/>
    <col min="14603" max="14603" width="22.8515625" style="830" customWidth="1"/>
    <col min="14604" max="14604" width="24.421875" style="830" customWidth="1"/>
    <col min="14605" max="14647" width="12.57421875" style="830" hidden="1" customWidth="1"/>
    <col min="14648" max="14833" width="12.57421875" style="830" customWidth="1"/>
    <col min="14834" max="14834" width="7.140625" style="830" customWidth="1"/>
    <col min="14835" max="14835" width="33.140625" style="830" customWidth="1"/>
    <col min="14836" max="14836" width="48.00390625" style="830" customWidth="1"/>
    <col min="14837" max="14837" width="44.8515625" style="830" customWidth="1"/>
    <col min="14838" max="14838" width="15.7109375" style="830" customWidth="1"/>
    <col min="14839" max="14839" width="10.28125" style="830" bestFit="1" customWidth="1"/>
    <col min="14840" max="14840" width="31.8515625" style="830" customWidth="1"/>
    <col min="14841" max="14841" width="19.8515625" style="830" customWidth="1"/>
    <col min="14842" max="14842" width="12.8515625" style="830" customWidth="1"/>
    <col min="14843" max="14843" width="43.140625" style="830" customWidth="1"/>
    <col min="14844" max="14844" width="12.421875" style="830" bestFit="1" customWidth="1"/>
    <col min="14845" max="14845" width="12.421875" style="830" customWidth="1"/>
    <col min="14846" max="14856" width="5.00390625" style="830" customWidth="1"/>
    <col min="14857" max="14857" width="7.57421875" style="830" customWidth="1"/>
    <col min="14858" max="14858" width="12.28125" style="830" customWidth="1"/>
    <col min="14859" max="14859" width="22.8515625" style="830" customWidth="1"/>
    <col min="14860" max="14860" width="24.421875" style="830" customWidth="1"/>
    <col min="14861" max="14903" width="12.57421875" style="830" hidden="1" customWidth="1"/>
    <col min="14904" max="15089" width="12.57421875" style="830" customWidth="1"/>
    <col min="15090" max="15090" width="7.140625" style="830" customWidth="1"/>
    <col min="15091" max="15091" width="33.140625" style="830" customWidth="1"/>
    <col min="15092" max="15092" width="48.00390625" style="830" customWidth="1"/>
    <col min="15093" max="15093" width="44.8515625" style="830" customWidth="1"/>
    <col min="15094" max="15094" width="15.7109375" style="830" customWidth="1"/>
    <col min="15095" max="15095" width="10.28125" style="830" bestFit="1" customWidth="1"/>
    <col min="15096" max="15096" width="31.8515625" style="830" customWidth="1"/>
    <col min="15097" max="15097" width="19.8515625" style="830" customWidth="1"/>
    <col min="15098" max="15098" width="12.8515625" style="830" customWidth="1"/>
    <col min="15099" max="15099" width="43.140625" style="830" customWidth="1"/>
    <col min="15100" max="15100" width="12.421875" style="830" bestFit="1" customWidth="1"/>
    <col min="15101" max="15101" width="12.421875" style="830" customWidth="1"/>
    <col min="15102" max="15112" width="5.00390625" style="830" customWidth="1"/>
    <col min="15113" max="15113" width="7.57421875" style="830" customWidth="1"/>
    <col min="15114" max="15114" width="12.28125" style="830" customWidth="1"/>
    <col min="15115" max="15115" width="22.8515625" style="830" customWidth="1"/>
    <col min="15116" max="15116" width="24.421875" style="830" customWidth="1"/>
    <col min="15117" max="15159" width="12.57421875" style="830" hidden="1" customWidth="1"/>
    <col min="15160" max="15345" width="12.57421875" style="830" customWidth="1"/>
    <col min="15346" max="15346" width="7.140625" style="830" customWidth="1"/>
    <col min="15347" max="15347" width="33.140625" style="830" customWidth="1"/>
    <col min="15348" max="15348" width="48.00390625" style="830" customWidth="1"/>
    <col min="15349" max="15349" width="44.8515625" style="830" customWidth="1"/>
    <col min="15350" max="15350" width="15.7109375" style="830" customWidth="1"/>
    <col min="15351" max="15351" width="10.28125" style="830" bestFit="1" customWidth="1"/>
    <col min="15352" max="15352" width="31.8515625" style="830" customWidth="1"/>
    <col min="15353" max="15353" width="19.8515625" style="830" customWidth="1"/>
    <col min="15354" max="15354" width="12.8515625" style="830" customWidth="1"/>
    <col min="15355" max="15355" width="43.140625" style="830" customWidth="1"/>
    <col min="15356" max="15356" width="12.421875" style="830" bestFit="1" customWidth="1"/>
    <col min="15357" max="15357" width="12.421875" style="830" customWidth="1"/>
    <col min="15358" max="15368" width="5.00390625" style="830" customWidth="1"/>
    <col min="15369" max="15369" width="7.57421875" style="830" customWidth="1"/>
    <col min="15370" max="15370" width="12.28125" style="830" customWidth="1"/>
    <col min="15371" max="15371" width="22.8515625" style="830" customWidth="1"/>
    <col min="15372" max="15372" width="24.421875" style="830" customWidth="1"/>
    <col min="15373" max="15415" width="12.57421875" style="830" hidden="1" customWidth="1"/>
    <col min="15416" max="15601" width="12.57421875" style="830" customWidth="1"/>
    <col min="15602" max="15602" width="7.140625" style="830" customWidth="1"/>
    <col min="15603" max="15603" width="33.140625" style="830" customWidth="1"/>
    <col min="15604" max="15604" width="48.00390625" style="830" customWidth="1"/>
    <col min="15605" max="15605" width="44.8515625" style="830" customWidth="1"/>
    <col min="15606" max="15606" width="15.7109375" style="830" customWidth="1"/>
    <col min="15607" max="15607" width="10.28125" style="830" bestFit="1" customWidth="1"/>
    <col min="15608" max="15608" width="31.8515625" style="830" customWidth="1"/>
    <col min="15609" max="15609" width="19.8515625" style="830" customWidth="1"/>
    <col min="15610" max="15610" width="12.8515625" style="830" customWidth="1"/>
    <col min="15611" max="15611" width="43.140625" style="830" customWidth="1"/>
    <col min="15612" max="15612" width="12.421875" style="830" bestFit="1" customWidth="1"/>
    <col min="15613" max="15613" width="12.421875" style="830" customWidth="1"/>
    <col min="15614" max="15624" width="5.00390625" style="830" customWidth="1"/>
    <col min="15625" max="15625" width="7.57421875" style="830" customWidth="1"/>
    <col min="15626" max="15626" width="12.28125" style="830" customWidth="1"/>
    <col min="15627" max="15627" width="22.8515625" style="830" customWidth="1"/>
    <col min="15628" max="15628" width="24.421875" style="830" customWidth="1"/>
    <col min="15629" max="15671" width="12.57421875" style="830" hidden="1" customWidth="1"/>
    <col min="15672" max="15857" width="12.57421875" style="830" customWidth="1"/>
    <col min="15858" max="15858" width="7.140625" style="830" customWidth="1"/>
    <col min="15859" max="15859" width="33.140625" style="830" customWidth="1"/>
    <col min="15860" max="15860" width="48.00390625" style="830" customWidth="1"/>
    <col min="15861" max="15861" width="44.8515625" style="830" customWidth="1"/>
    <col min="15862" max="15862" width="15.7109375" style="830" customWidth="1"/>
    <col min="15863" max="15863" width="10.28125" style="830" bestFit="1" customWidth="1"/>
    <col min="15864" max="15864" width="31.8515625" style="830" customWidth="1"/>
    <col min="15865" max="15865" width="19.8515625" style="830" customWidth="1"/>
    <col min="15866" max="15866" width="12.8515625" style="830" customWidth="1"/>
    <col min="15867" max="15867" width="43.140625" style="830" customWidth="1"/>
    <col min="15868" max="15868" width="12.421875" style="830" bestFit="1" customWidth="1"/>
    <col min="15869" max="15869" width="12.421875" style="830" customWidth="1"/>
    <col min="15870" max="15880" width="5.00390625" style="830" customWidth="1"/>
    <col min="15881" max="15881" width="7.57421875" style="830" customWidth="1"/>
    <col min="15882" max="15882" width="12.28125" style="830" customWidth="1"/>
    <col min="15883" max="15883" width="22.8515625" style="830" customWidth="1"/>
    <col min="15884" max="15884" width="24.421875" style="830" customWidth="1"/>
    <col min="15885" max="15927" width="12.57421875" style="830" hidden="1" customWidth="1"/>
    <col min="15928" max="16113" width="12.57421875" style="830" customWidth="1"/>
    <col min="16114" max="16114" width="7.140625" style="830" customWidth="1"/>
    <col min="16115" max="16115" width="33.140625" style="830" customWidth="1"/>
    <col min="16116" max="16116" width="48.00390625" style="830" customWidth="1"/>
    <col min="16117" max="16117" width="44.8515625" style="830" customWidth="1"/>
    <col min="16118" max="16118" width="15.7109375" style="830" customWidth="1"/>
    <col min="16119" max="16119" width="10.28125" style="830" bestFit="1" customWidth="1"/>
    <col min="16120" max="16120" width="31.8515625" style="830" customWidth="1"/>
    <col min="16121" max="16121" width="19.8515625" style="830" customWidth="1"/>
    <col min="16122" max="16122" width="12.8515625" style="830" customWidth="1"/>
    <col min="16123" max="16123" width="43.140625" style="830" customWidth="1"/>
    <col min="16124" max="16124" width="12.421875" style="830" bestFit="1" customWidth="1"/>
    <col min="16125" max="16125" width="12.421875" style="830" customWidth="1"/>
    <col min="16126" max="16136" width="5.00390625" style="830" customWidth="1"/>
    <col min="16137" max="16137" width="7.57421875" style="830" customWidth="1"/>
    <col min="16138" max="16138" width="12.28125" style="830" customWidth="1"/>
    <col min="16139" max="16139" width="22.8515625" style="830" customWidth="1"/>
    <col min="16140" max="16140" width="24.421875" style="830" customWidth="1"/>
    <col min="16141" max="16183" width="12.57421875" style="830" hidden="1" customWidth="1"/>
    <col min="16184" max="16384" width="12.57421875" style="830" customWidth="1"/>
  </cols>
  <sheetData>
    <row r="1" spans="1:54" ht="15" customHeight="1" thickBot="1">
      <c r="A1" s="2514"/>
      <c r="B1" s="2514"/>
      <c r="C1" s="2514"/>
      <c r="D1" s="2515" t="s">
        <v>0</v>
      </c>
      <c r="E1" s="2515"/>
      <c r="F1" s="2515"/>
      <c r="G1" s="2515"/>
      <c r="H1" s="2515"/>
      <c r="I1" s="2515"/>
      <c r="J1" s="2515"/>
      <c r="K1" s="2515"/>
      <c r="L1" s="2515"/>
      <c r="M1" s="2515"/>
      <c r="N1" s="2515"/>
      <c r="O1" s="2515"/>
      <c r="P1" s="2515"/>
      <c r="Q1" s="2515"/>
      <c r="R1" s="2515"/>
      <c r="S1" s="2515"/>
      <c r="T1" s="2515"/>
      <c r="U1" s="2515"/>
      <c r="V1" s="2515"/>
      <c r="W1" s="2515"/>
      <c r="X1" s="2515"/>
      <c r="Y1" s="2515"/>
      <c r="Z1" s="2515"/>
      <c r="AA1" s="2515"/>
      <c r="AB1" s="2515"/>
      <c r="AC1" s="2515"/>
      <c r="AD1" s="2515"/>
      <c r="AE1" s="2515"/>
      <c r="AF1" s="2515"/>
      <c r="AG1" s="2515"/>
      <c r="AH1" s="2515"/>
      <c r="AI1" s="2515"/>
      <c r="AJ1" s="2515"/>
      <c r="AK1" s="2515"/>
      <c r="AL1" s="2515"/>
      <c r="AM1" s="2515"/>
      <c r="AN1" s="2515"/>
      <c r="AO1" s="2515"/>
      <c r="AP1" s="2515"/>
      <c r="AQ1" s="2515"/>
      <c r="AR1" s="2515"/>
      <c r="AS1" s="2515"/>
      <c r="AT1" s="2515"/>
      <c r="AU1" s="2515"/>
      <c r="AV1" s="2515"/>
      <c r="AW1" s="2515"/>
      <c r="AX1" s="2515"/>
      <c r="AY1" s="2515"/>
      <c r="AZ1" s="2515"/>
      <c r="BA1" s="2515"/>
      <c r="BB1" s="2515"/>
    </row>
    <row r="2" spans="1:54" ht="20.25" customHeight="1" thickBot="1">
      <c r="A2" s="2514"/>
      <c r="B2" s="2514"/>
      <c r="C2" s="2514"/>
      <c r="D2" s="2515"/>
      <c r="E2" s="2515"/>
      <c r="F2" s="2515"/>
      <c r="G2" s="2515"/>
      <c r="H2" s="2515"/>
      <c r="I2" s="2515"/>
      <c r="J2" s="2515"/>
      <c r="K2" s="2515"/>
      <c r="L2" s="2515"/>
      <c r="M2" s="2515"/>
      <c r="N2" s="2515"/>
      <c r="O2" s="2515"/>
      <c r="P2" s="2515"/>
      <c r="Q2" s="2515"/>
      <c r="R2" s="2515"/>
      <c r="S2" s="2515"/>
      <c r="T2" s="2515"/>
      <c r="U2" s="2515"/>
      <c r="V2" s="2515"/>
      <c r="W2" s="2515"/>
      <c r="X2" s="2515"/>
      <c r="Y2" s="2515"/>
      <c r="Z2" s="2515"/>
      <c r="AA2" s="2515"/>
      <c r="AB2" s="2515"/>
      <c r="AC2" s="2515"/>
      <c r="AD2" s="2515"/>
      <c r="AE2" s="2515"/>
      <c r="AF2" s="2515"/>
      <c r="AG2" s="2515"/>
      <c r="AH2" s="2515"/>
      <c r="AI2" s="2515"/>
      <c r="AJ2" s="2515"/>
      <c r="AK2" s="2515"/>
      <c r="AL2" s="2515"/>
      <c r="AM2" s="2515"/>
      <c r="AN2" s="2515"/>
      <c r="AO2" s="2515"/>
      <c r="AP2" s="2515"/>
      <c r="AQ2" s="2515"/>
      <c r="AR2" s="2515"/>
      <c r="AS2" s="2515"/>
      <c r="AT2" s="2515"/>
      <c r="AU2" s="2515"/>
      <c r="AV2" s="2515"/>
      <c r="AW2" s="2515"/>
      <c r="AX2" s="2515"/>
      <c r="AY2" s="2515"/>
      <c r="AZ2" s="2515"/>
      <c r="BA2" s="2515"/>
      <c r="BB2" s="2515"/>
    </row>
    <row r="3" spans="1:54" ht="19.5" customHeight="1" thickBot="1">
      <c r="A3" s="2514"/>
      <c r="B3" s="2514"/>
      <c r="C3" s="2514"/>
      <c r="D3" s="2516" t="s">
        <v>3</v>
      </c>
      <c r="E3" s="2516"/>
      <c r="F3" s="2516"/>
      <c r="G3" s="2516"/>
      <c r="H3" s="2516"/>
      <c r="I3" s="2516"/>
      <c r="J3" s="2516"/>
      <c r="K3" s="2516"/>
      <c r="L3" s="2516"/>
      <c r="M3" s="2516"/>
      <c r="N3" s="2516"/>
      <c r="O3" s="2516"/>
      <c r="P3" s="2516"/>
      <c r="Q3" s="2516"/>
      <c r="R3" s="2516"/>
      <c r="S3" s="2516"/>
      <c r="T3" s="2516"/>
      <c r="U3" s="2516"/>
      <c r="V3" s="2516"/>
      <c r="W3" s="2516"/>
      <c r="X3" s="2516"/>
      <c r="Y3" s="2516"/>
      <c r="Z3" s="2516"/>
      <c r="AA3" s="2516"/>
      <c r="AB3" s="2516"/>
      <c r="AC3" s="2516"/>
      <c r="AD3" s="2516"/>
      <c r="AE3" s="2516"/>
      <c r="AF3" s="2516"/>
      <c r="AG3" s="2516"/>
      <c r="AH3" s="2516"/>
      <c r="AI3" s="2516"/>
      <c r="AJ3" s="2516"/>
      <c r="AK3" s="2516"/>
      <c r="AL3" s="2516"/>
      <c r="AM3" s="2516"/>
      <c r="AN3" s="2516"/>
      <c r="AO3" s="2516"/>
      <c r="AP3" s="2516"/>
      <c r="AQ3" s="2516"/>
      <c r="AR3" s="2516"/>
      <c r="AS3" s="2516"/>
      <c r="AT3" s="2516"/>
      <c r="AU3" s="2516"/>
      <c r="AV3" s="2516"/>
      <c r="AW3" s="2516"/>
      <c r="AX3" s="2516"/>
      <c r="AY3" s="2516"/>
      <c r="AZ3" s="2516"/>
      <c r="BA3" s="2516"/>
      <c r="BB3" s="2516"/>
    </row>
    <row r="4" spans="1:54" ht="21.75" customHeight="1" thickBot="1">
      <c r="A4" s="2514"/>
      <c r="B4" s="2514"/>
      <c r="C4" s="2514"/>
      <c r="D4" s="2516"/>
      <c r="E4" s="2516"/>
      <c r="F4" s="2516"/>
      <c r="G4" s="2516"/>
      <c r="H4" s="2516"/>
      <c r="I4" s="2516"/>
      <c r="J4" s="2516"/>
      <c r="K4" s="2516"/>
      <c r="L4" s="2516"/>
      <c r="M4" s="2516"/>
      <c r="N4" s="2516"/>
      <c r="O4" s="2516"/>
      <c r="P4" s="2516"/>
      <c r="Q4" s="2516"/>
      <c r="R4" s="2516"/>
      <c r="S4" s="2516"/>
      <c r="T4" s="2516"/>
      <c r="U4" s="2516"/>
      <c r="V4" s="2516"/>
      <c r="W4" s="2516"/>
      <c r="X4" s="2516"/>
      <c r="Y4" s="2516"/>
      <c r="Z4" s="2516"/>
      <c r="AA4" s="2516"/>
      <c r="AB4" s="2516"/>
      <c r="AC4" s="2516"/>
      <c r="AD4" s="2516"/>
      <c r="AE4" s="2516"/>
      <c r="AF4" s="2516"/>
      <c r="AG4" s="2516"/>
      <c r="AH4" s="2516"/>
      <c r="AI4" s="2516"/>
      <c r="AJ4" s="2516"/>
      <c r="AK4" s="2516"/>
      <c r="AL4" s="2516"/>
      <c r="AM4" s="2516"/>
      <c r="AN4" s="2516"/>
      <c r="AO4" s="2516"/>
      <c r="AP4" s="2516"/>
      <c r="AQ4" s="2516"/>
      <c r="AR4" s="2516"/>
      <c r="AS4" s="2516"/>
      <c r="AT4" s="2516"/>
      <c r="AU4" s="2516"/>
      <c r="AV4" s="2517"/>
      <c r="AW4" s="2517"/>
      <c r="AX4" s="2517"/>
      <c r="AY4" s="2517"/>
      <c r="AZ4" s="2517"/>
      <c r="BA4" s="2517"/>
      <c r="BB4" s="2517"/>
    </row>
    <row r="5" spans="1:67" ht="20.25" customHeight="1" thickBot="1">
      <c r="A5" s="2539" t="s">
        <v>4</v>
      </c>
      <c r="B5" s="2539"/>
      <c r="C5" s="2539"/>
      <c r="D5" s="2539"/>
      <c r="E5" s="2539"/>
      <c r="F5" s="2539"/>
      <c r="G5" s="2539"/>
      <c r="H5" s="2539"/>
      <c r="I5" s="2539"/>
      <c r="J5" s="2539"/>
      <c r="K5" s="2539"/>
      <c r="L5" s="2539"/>
      <c r="M5" s="2539"/>
      <c r="N5" s="2539"/>
      <c r="O5" s="2539"/>
      <c r="P5" s="2539"/>
      <c r="Q5" s="2539"/>
      <c r="R5" s="2539"/>
      <c r="S5" s="2539"/>
      <c r="T5" s="2539"/>
      <c r="U5" s="2539"/>
      <c r="V5" s="2539"/>
      <c r="W5" s="2539"/>
      <c r="X5" s="2539"/>
      <c r="Y5" s="2539"/>
      <c r="Z5" s="2539"/>
      <c r="AA5" s="2539"/>
      <c r="AB5" s="2540" t="s">
        <v>4</v>
      </c>
      <c r="AC5" s="2540"/>
      <c r="AD5" s="2540"/>
      <c r="AE5" s="2540"/>
      <c r="AF5" s="2540"/>
      <c r="AG5" s="2540"/>
      <c r="AH5" s="2540"/>
      <c r="AI5" s="2540"/>
      <c r="AJ5" s="2540"/>
      <c r="AK5" s="2540"/>
      <c r="AL5" s="2541" t="s">
        <v>4</v>
      </c>
      <c r="AM5" s="2541"/>
      <c r="AN5" s="2541"/>
      <c r="AO5" s="2541"/>
      <c r="AP5" s="2541"/>
      <c r="AQ5" s="2541"/>
      <c r="AR5" s="2541"/>
      <c r="AS5" s="2541"/>
      <c r="AT5" s="2541"/>
      <c r="AU5" s="2542"/>
      <c r="AV5" s="2520" t="s">
        <v>2852</v>
      </c>
      <c r="AW5" s="2521"/>
      <c r="AX5" s="2521"/>
      <c r="AY5" s="2521"/>
      <c r="AZ5" s="2521"/>
      <c r="BA5" s="2521"/>
      <c r="BB5" s="2521"/>
      <c r="BC5" s="2521"/>
      <c r="BD5" s="2521"/>
      <c r="BE5" s="2522"/>
      <c r="BF5" s="2575" t="s">
        <v>2856</v>
      </c>
      <c r="BG5" s="2576"/>
      <c r="BH5" s="2576"/>
      <c r="BI5" s="2576"/>
      <c r="BJ5" s="2576"/>
      <c r="BK5" s="2576"/>
      <c r="BL5" s="2576"/>
      <c r="BM5" s="2576"/>
      <c r="BN5" s="2576"/>
      <c r="BO5" s="2577"/>
    </row>
    <row r="6" spans="1:67" ht="15.75" customHeight="1">
      <c r="A6" s="2535" t="s">
        <v>5</v>
      </c>
      <c r="B6" s="2535"/>
      <c r="C6" s="2535"/>
      <c r="D6" s="2535"/>
      <c r="E6" s="2535"/>
      <c r="F6" s="2535"/>
      <c r="G6" s="2535"/>
      <c r="H6" s="2535"/>
      <c r="I6" s="2535"/>
      <c r="J6" s="2535"/>
      <c r="K6" s="2535"/>
      <c r="L6" s="2535"/>
      <c r="M6" s="2535"/>
      <c r="N6" s="2535"/>
      <c r="O6" s="2535"/>
      <c r="P6" s="2535"/>
      <c r="Q6" s="2535"/>
      <c r="R6" s="2535"/>
      <c r="S6" s="2535"/>
      <c r="T6" s="2535"/>
      <c r="U6" s="2535"/>
      <c r="V6" s="2535"/>
      <c r="W6" s="2535"/>
      <c r="X6" s="2535"/>
      <c r="Y6" s="2535"/>
      <c r="Z6" s="2535"/>
      <c r="AA6" s="2535"/>
      <c r="AB6" s="2540"/>
      <c r="AC6" s="2540"/>
      <c r="AD6" s="2540"/>
      <c r="AE6" s="2540"/>
      <c r="AF6" s="2540"/>
      <c r="AG6" s="2540"/>
      <c r="AH6" s="2540"/>
      <c r="AI6" s="2540"/>
      <c r="AJ6" s="2540"/>
      <c r="AK6" s="2540"/>
      <c r="AL6" s="2541"/>
      <c r="AM6" s="2541"/>
      <c r="AN6" s="2541"/>
      <c r="AO6" s="2541"/>
      <c r="AP6" s="2541"/>
      <c r="AQ6" s="2541"/>
      <c r="AR6" s="2541"/>
      <c r="AS6" s="2541"/>
      <c r="AT6" s="2541"/>
      <c r="AU6" s="2542"/>
      <c r="AV6" s="2523"/>
      <c r="AW6" s="2524"/>
      <c r="AX6" s="2524"/>
      <c r="AY6" s="2524"/>
      <c r="AZ6" s="2524"/>
      <c r="BA6" s="2524"/>
      <c r="BB6" s="2524"/>
      <c r="BC6" s="2524"/>
      <c r="BD6" s="2524"/>
      <c r="BE6" s="2525"/>
      <c r="BF6" s="2578"/>
      <c r="BG6" s="2579"/>
      <c r="BH6" s="2579"/>
      <c r="BI6" s="2579"/>
      <c r="BJ6" s="2579"/>
      <c r="BK6" s="2579"/>
      <c r="BL6" s="2579"/>
      <c r="BM6" s="2579"/>
      <c r="BN6" s="2579"/>
      <c r="BO6" s="2580"/>
    </row>
    <row r="7" spans="1:67" ht="15.75" customHeight="1" thickBot="1">
      <c r="A7" s="2535"/>
      <c r="B7" s="2535"/>
      <c r="C7" s="2535"/>
      <c r="D7" s="2535"/>
      <c r="E7" s="2535"/>
      <c r="F7" s="2535"/>
      <c r="G7" s="2535"/>
      <c r="H7" s="2535"/>
      <c r="I7" s="2535"/>
      <c r="J7" s="2535"/>
      <c r="K7" s="2535"/>
      <c r="L7" s="2535"/>
      <c r="M7" s="2535"/>
      <c r="N7" s="2535"/>
      <c r="O7" s="2535"/>
      <c r="P7" s="2535"/>
      <c r="Q7" s="2535"/>
      <c r="R7" s="2535"/>
      <c r="S7" s="2535"/>
      <c r="T7" s="2535"/>
      <c r="U7" s="2535"/>
      <c r="V7" s="2535"/>
      <c r="W7" s="2535"/>
      <c r="X7" s="2535"/>
      <c r="Y7" s="2535"/>
      <c r="Z7" s="2535"/>
      <c r="AA7" s="2535"/>
      <c r="AB7" s="2536" t="s">
        <v>2452</v>
      </c>
      <c r="AC7" s="2536"/>
      <c r="AD7" s="2536"/>
      <c r="AE7" s="2536"/>
      <c r="AF7" s="2536"/>
      <c r="AG7" s="2536"/>
      <c r="AH7" s="2536"/>
      <c r="AI7" s="2536"/>
      <c r="AJ7" s="2536"/>
      <c r="AK7" s="2536"/>
      <c r="AL7" s="2537" t="s">
        <v>2451</v>
      </c>
      <c r="AM7" s="2537"/>
      <c r="AN7" s="2537"/>
      <c r="AO7" s="2537"/>
      <c r="AP7" s="2537"/>
      <c r="AQ7" s="2537"/>
      <c r="AR7" s="2537"/>
      <c r="AS7" s="2537"/>
      <c r="AT7" s="2537"/>
      <c r="AU7" s="2538"/>
      <c r="AV7" s="2523"/>
      <c r="AW7" s="2524"/>
      <c r="AX7" s="2524"/>
      <c r="AY7" s="2524"/>
      <c r="AZ7" s="2524"/>
      <c r="BA7" s="2524"/>
      <c r="BB7" s="2524"/>
      <c r="BC7" s="2524"/>
      <c r="BD7" s="2524"/>
      <c r="BE7" s="2525"/>
      <c r="BF7" s="2578"/>
      <c r="BG7" s="2579"/>
      <c r="BH7" s="2579"/>
      <c r="BI7" s="2579"/>
      <c r="BJ7" s="2579"/>
      <c r="BK7" s="2579"/>
      <c r="BL7" s="2579"/>
      <c r="BM7" s="2579"/>
      <c r="BN7" s="2579"/>
      <c r="BO7" s="2580"/>
    </row>
    <row r="8" spans="1:67" ht="15.75" customHeight="1" thickBot="1">
      <c r="A8" s="2535" t="s">
        <v>6</v>
      </c>
      <c r="B8" s="2535"/>
      <c r="C8" s="2535"/>
      <c r="D8" s="2535"/>
      <c r="E8" s="2535"/>
      <c r="F8" s="2535"/>
      <c r="G8" s="2535"/>
      <c r="H8" s="2535"/>
      <c r="I8" s="2535"/>
      <c r="J8" s="2535"/>
      <c r="K8" s="2535"/>
      <c r="L8" s="2535"/>
      <c r="M8" s="2535"/>
      <c r="N8" s="2535"/>
      <c r="O8" s="2535"/>
      <c r="P8" s="2535"/>
      <c r="Q8" s="2535"/>
      <c r="R8" s="2535"/>
      <c r="S8" s="2535"/>
      <c r="T8" s="2535"/>
      <c r="U8" s="2535"/>
      <c r="V8" s="2535"/>
      <c r="W8" s="2535"/>
      <c r="X8" s="2535"/>
      <c r="Y8" s="2535"/>
      <c r="Z8" s="2535"/>
      <c r="AA8" s="2535"/>
      <c r="AB8" s="2536"/>
      <c r="AC8" s="2536"/>
      <c r="AD8" s="2536"/>
      <c r="AE8" s="2536"/>
      <c r="AF8" s="2536"/>
      <c r="AG8" s="2536"/>
      <c r="AH8" s="2536"/>
      <c r="AI8" s="2536"/>
      <c r="AJ8" s="2536"/>
      <c r="AK8" s="2536"/>
      <c r="AL8" s="2537"/>
      <c r="AM8" s="2537"/>
      <c r="AN8" s="2537"/>
      <c r="AO8" s="2537"/>
      <c r="AP8" s="2537"/>
      <c r="AQ8" s="2537"/>
      <c r="AR8" s="2537"/>
      <c r="AS8" s="2537"/>
      <c r="AT8" s="2537"/>
      <c r="AU8" s="2538"/>
      <c r="AV8" s="2523"/>
      <c r="AW8" s="2524"/>
      <c r="AX8" s="2524"/>
      <c r="AY8" s="2524"/>
      <c r="AZ8" s="2524"/>
      <c r="BA8" s="2524"/>
      <c r="BB8" s="2524"/>
      <c r="BC8" s="2524"/>
      <c r="BD8" s="2524"/>
      <c r="BE8" s="2525"/>
      <c r="BF8" s="2578"/>
      <c r="BG8" s="2579"/>
      <c r="BH8" s="2579"/>
      <c r="BI8" s="2579"/>
      <c r="BJ8" s="2579"/>
      <c r="BK8" s="2579"/>
      <c r="BL8" s="2579"/>
      <c r="BM8" s="2579"/>
      <c r="BN8" s="2579"/>
      <c r="BO8" s="2580"/>
    </row>
    <row r="9" spans="1:67" ht="15.75" customHeight="1" thickBot="1">
      <c r="A9" s="2546">
        <v>2015</v>
      </c>
      <c r="B9" s="2546"/>
      <c r="C9" s="2546"/>
      <c r="D9" s="2546"/>
      <c r="E9" s="2546"/>
      <c r="F9" s="2546"/>
      <c r="G9" s="2546"/>
      <c r="H9" s="2546"/>
      <c r="I9" s="2546"/>
      <c r="J9" s="2546"/>
      <c r="K9" s="2546"/>
      <c r="L9" s="2546"/>
      <c r="M9" s="2546"/>
      <c r="N9" s="2546"/>
      <c r="O9" s="2546"/>
      <c r="P9" s="2546"/>
      <c r="Q9" s="2546"/>
      <c r="R9" s="2546"/>
      <c r="S9" s="2546"/>
      <c r="T9" s="2546"/>
      <c r="U9" s="2546"/>
      <c r="V9" s="2546"/>
      <c r="W9" s="2546"/>
      <c r="X9" s="2546"/>
      <c r="Y9" s="2546"/>
      <c r="Z9" s="2546"/>
      <c r="AA9" s="2546"/>
      <c r="AB9" s="2536"/>
      <c r="AC9" s="2536"/>
      <c r="AD9" s="2536"/>
      <c r="AE9" s="2536"/>
      <c r="AF9" s="2536"/>
      <c r="AG9" s="2536"/>
      <c r="AH9" s="2536"/>
      <c r="AI9" s="2536"/>
      <c r="AJ9" s="2536"/>
      <c r="AK9" s="2536"/>
      <c r="AL9" s="2537"/>
      <c r="AM9" s="2537"/>
      <c r="AN9" s="2537"/>
      <c r="AO9" s="2537"/>
      <c r="AP9" s="2537"/>
      <c r="AQ9" s="2537"/>
      <c r="AR9" s="2537"/>
      <c r="AS9" s="2537"/>
      <c r="AT9" s="2537"/>
      <c r="AU9" s="2538"/>
      <c r="AV9" s="2526"/>
      <c r="AW9" s="2527"/>
      <c r="AX9" s="2527"/>
      <c r="AY9" s="2527"/>
      <c r="AZ9" s="2527"/>
      <c r="BA9" s="2527"/>
      <c r="BB9" s="2527"/>
      <c r="BC9" s="2527"/>
      <c r="BD9" s="2527"/>
      <c r="BE9" s="2528"/>
      <c r="BF9" s="2581"/>
      <c r="BG9" s="2582"/>
      <c r="BH9" s="2582"/>
      <c r="BI9" s="2582"/>
      <c r="BJ9" s="2582"/>
      <c r="BK9" s="2582"/>
      <c r="BL9" s="2582"/>
      <c r="BM9" s="2582"/>
      <c r="BN9" s="2582"/>
      <c r="BO9" s="2583"/>
    </row>
    <row r="10" spans="1:37" ht="9" customHeight="1" thickBot="1">
      <c r="A10" s="833"/>
      <c r="B10" s="898"/>
      <c r="C10" s="833"/>
      <c r="D10" s="833"/>
      <c r="E10" s="833"/>
      <c r="F10" s="1089"/>
      <c r="G10" s="833"/>
      <c r="H10" s="833"/>
      <c r="I10" s="1087"/>
      <c r="J10" s="833"/>
      <c r="K10" s="1086"/>
      <c r="L10" s="1086"/>
      <c r="M10" s="833"/>
      <c r="N10" s="833"/>
      <c r="O10" s="833"/>
      <c r="P10" s="833"/>
      <c r="Q10" s="833"/>
      <c r="R10" s="833"/>
      <c r="S10" s="833"/>
      <c r="T10" s="833"/>
      <c r="U10" s="833"/>
      <c r="V10" s="833"/>
      <c r="W10" s="833"/>
      <c r="X10" s="833"/>
      <c r="Y10" s="833"/>
      <c r="Z10" s="1085"/>
      <c r="AA10" s="833"/>
      <c r="AB10" s="1283"/>
      <c r="AC10" s="1301"/>
      <c r="AD10" s="1598"/>
      <c r="AE10" s="1084"/>
      <c r="AF10" s="1084"/>
      <c r="AG10" s="1084"/>
      <c r="AH10" s="1283"/>
      <c r="AI10" s="1084"/>
      <c r="AJ10" s="1084"/>
      <c r="AK10" s="1084"/>
    </row>
    <row r="11" spans="1:67" s="833" customFormat="1" ht="21" customHeight="1" thickBot="1">
      <c r="A11" s="2547" t="s">
        <v>7</v>
      </c>
      <c r="B11" s="2547"/>
      <c r="C11" s="2547"/>
      <c r="D11" s="2547"/>
      <c r="E11" s="2543" t="s">
        <v>1097</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3" t="s">
        <v>1097</v>
      </c>
      <c r="AC11" s="2543"/>
      <c r="AD11" s="2543"/>
      <c r="AE11" s="2543"/>
      <c r="AF11" s="2543"/>
      <c r="AG11" s="2543"/>
      <c r="AH11" s="2543"/>
      <c r="AI11" s="2543"/>
      <c r="AJ11" s="2543"/>
      <c r="AK11" s="2543"/>
      <c r="AL11" s="2543" t="s">
        <v>1097</v>
      </c>
      <c r="AM11" s="2543"/>
      <c r="AN11" s="2543"/>
      <c r="AO11" s="2543"/>
      <c r="AP11" s="2543"/>
      <c r="AQ11" s="2543"/>
      <c r="AR11" s="2543"/>
      <c r="AS11" s="2543"/>
      <c r="AT11" s="2543"/>
      <c r="AU11" s="2544"/>
      <c r="AV11" s="2529" t="s">
        <v>1097</v>
      </c>
      <c r="AW11" s="2530"/>
      <c r="AX11" s="2530"/>
      <c r="AY11" s="2530"/>
      <c r="AZ11" s="2530"/>
      <c r="BA11" s="2530"/>
      <c r="BB11" s="2530"/>
      <c r="BC11" s="2530"/>
      <c r="BD11" s="2530"/>
      <c r="BE11" s="2531"/>
      <c r="BF11" s="2529" t="s">
        <v>1097</v>
      </c>
      <c r="BG11" s="2530"/>
      <c r="BH11" s="2530"/>
      <c r="BI11" s="2530"/>
      <c r="BJ11" s="2530"/>
      <c r="BK11" s="2530"/>
      <c r="BL11" s="2530"/>
      <c r="BM11" s="2530"/>
      <c r="BN11" s="2530"/>
      <c r="BO11" s="2531"/>
    </row>
    <row r="12" spans="2:37" s="896" customFormat="1" ht="9.95" customHeight="1" thickBot="1">
      <c r="B12" s="1012"/>
      <c r="F12" s="1089"/>
      <c r="I12" s="1010"/>
      <c r="K12" s="1009"/>
      <c r="L12" s="1009"/>
      <c r="Z12" s="1083"/>
      <c r="AB12" s="1284"/>
      <c r="AC12" s="1302"/>
      <c r="AD12" s="1442"/>
      <c r="AE12" s="1007"/>
      <c r="AF12" s="1007"/>
      <c r="AG12" s="1007"/>
      <c r="AH12" s="1284"/>
      <c r="AI12" s="1007"/>
      <c r="AJ12" s="1007"/>
      <c r="AK12" s="1007"/>
    </row>
    <row r="13" spans="1:67" s="898" customFormat="1" ht="21" customHeight="1" thickBot="1">
      <c r="A13" s="2549" t="s">
        <v>9</v>
      </c>
      <c r="B13" s="2549"/>
      <c r="C13" s="2549"/>
      <c r="D13" s="2549"/>
      <c r="E13" s="2550" t="s">
        <v>554</v>
      </c>
      <c r="F13" s="2550"/>
      <c r="G13" s="2550"/>
      <c r="H13" s="2550"/>
      <c r="I13" s="2550"/>
      <c r="J13" s="2550"/>
      <c r="K13" s="2550"/>
      <c r="L13" s="2550"/>
      <c r="M13" s="2550"/>
      <c r="N13" s="2550"/>
      <c r="O13" s="2550"/>
      <c r="P13" s="2550"/>
      <c r="Q13" s="2550"/>
      <c r="R13" s="2550"/>
      <c r="S13" s="2550"/>
      <c r="T13" s="2550"/>
      <c r="U13" s="2550"/>
      <c r="V13" s="2550"/>
      <c r="W13" s="2550"/>
      <c r="X13" s="2550"/>
      <c r="Y13" s="2550"/>
      <c r="Z13" s="2550"/>
      <c r="AA13" s="2550"/>
      <c r="AB13" s="2550" t="s">
        <v>554</v>
      </c>
      <c r="AC13" s="2550"/>
      <c r="AD13" s="2550"/>
      <c r="AE13" s="2550"/>
      <c r="AF13" s="2550"/>
      <c r="AG13" s="2550"/>
      <c r="AH13" s="2550"/>
      <c r="AI13" s="2550"/>
      <c r="AJ13" s="2550"/>
      <c r="AK13" s="2550"/>
      <c r="AL13" s="2551" t="s">
        <v>554</v>
      </c>
      <c r="AM13" s="2551"/>
      <c r="AN13" s="2551"/>
      <c r="AO13" s="2551"/>
      <c r="AP13" s="2551"/>
      <c r="AQ13" s="2551"/>
      <c r="AR13" s="2551"/>
      <c r="AS13" s="2551"/>
      <c r="AT13" s="2551"/>
      <c r="AU13" s="2552"/>
      <c r="AV13" s="2532" t="s">
        <v>554</v>
      </c>
      <c r="AW13" s="2533"/>
      <c r="AX13" s="2533"/>
      <c r="AY13" s="2533"/>
      <c r="AZ13" s="2533"/>
      <c r="BA13" s="2533"/>
      <c r="BB13" s="2533"/>
      <c r="BC13" s="2533"/>
      <c r="BD13" s="2533"/>
      <c r="BE13" s="2534"/>
      <c r="BF13" s="2532" t="s">
        <v>554</v>
      </c>
      <c r="BG13" s="2533"/>
      <c r="BH13" s="2533"/>
      <c r="BI13" s="2533"/>
      <c r="BJ13" s="2533"/>
      <c r="BK13" s="2533"/>
      <c r="BL13" s="2533"/>
      <c r="BM13" s="2533"/>
      <c r="BN13" s="2533"/>
      <c r="BO13" s="2534"/>
    </row>
    <row r="14" spans="2:37" s="896" customFormat="1" ht="9.95" customHeight="1" thickBot="1">
      <c r="B14" s="1012"/>
      <c r="F14" s="1089"/>
      <c r="I14" s="1010"/>
      <c r="K14" s="1009"/>
      <c r="L14" s="1009"/>
      <c r="Z14" s="1083"/>
      <c r="AB14" s="1284"/>
      <c r="AC14" s="1302"/>
      <c r="AD14" s="1442"/>
      <c r="AE14" s="1007"/>
      <c r="AF14" s="1007"/>
      <c r="AG14" s="1007"/>
      <c r="AH14" s="1284"/>
      <c r="AI14" s="1007"/>
      <c r="AJ14" s="1007"/>
      <c r="AK14" s="1007"/>
    </row>
    <row r="15" spans="1:67" s="892" customFormat="1" ht="39" thickBot="1">
      <c r="A15" s="1094" t="s">
        <v>11</v>
      </c>
      <c r="B15" s="1183" t="s">
        <v>12</v>
      </c>
      <c r="C15" s="1094" t="s">
        <v>13</v>
      </c>
      <c r="D15" s="1184" t="s">
        <v>14</v>
      </c>
      <c r="E15" s="1184" t="s">
        <v>15</v>
      </c>
      <c r="F15" s="1184" t="s">
        <v>16</v>
      </c>
      <c r="G15" s="1184" t="s">
        <v>17</v>
      </c>
      <c r="H15" s="1184" t="s">
        <v>18</v>
      </c>
      <c r="I15" s="1184" t="s">
        <v>19</v>
      </c>
      <c r="J15" s="1184" t="s">
        <v>20</v>
      </c>
      <c r="K15" s="1184" t="s">
        <v>21</v>
      </c>
      <c r="L15" s="1184" t="s">
        <v>22</v>
      </c>
      <c r="M15" s="1185" t="s">
        <v>23</v>
      </c>
      <c r="N15" s="1185" t="s">
        <v>24</v>
      </c>
      <c r="O15" s="1185" t="s">
        <v>25</v>
      </c>
      <c r="P15" s="1185" t="s">
        <v>26</v>
      </c>
      <c r="Q15" s="1185" t="s">
        <v>27</v>
      </c>
      <c r="R15" s="1185" t="s">
        <v>28</v>
      </c>
      <c r="S15" s="1185" t="s">
        <v>29</v>
      </c>
      <c r="T15" s="1185" t="s">
        <v>30</v>
      </c>
      <c r="U15" s="1185" t="s">
        <v>31</v>
      </c>
      <c r="V15" s="1185" t="s">
        <v>32</v>
      </c>
      <c r="W15" s="1185" t="s">
        <v>33</v>
      </c>
      <c r="X15" s="1185" t="s">
        <v>34</v>
      </c>
      <c r="Y15" s="1184" t="s">
        <v>35</v>
      </c>
      <c r="Z15" s="1186" t="s">
        <v>36</v>
      </c>
      <c r="AA15" s="1184" t="s">
        <v>37</v>
      </c>
      <c r="AB15" s="1286" t="s">
        <v>38</v>
      </c>
      <c r="AC15" s="1631" t="s">
        <v>1781</v>
      </c>
      <c r="AD15" s="1446" t="s">
        <v>39</v>
      </c>
      <c r="AE15" s="1645" t="s">
        <v>1821</v>
      </c>
      <c r="AF15" s="1645" t="s">
        <v>1822</v>
      </c>
      <c r="AG15" s="613" t="s">
        <v>1783</v>
      </c>
      <c r="AH15" s="1286" t="s">
        <v>41</v>
      </c>
      <c r="AI15" s="895" t="s">
        <v>42</v>
      </c>
      <c r="AJ15" s="895" t="s">
        <v>43</v>
      </c>
      <c r="AK15" s="895" t="s">
        <v>44</v>
      </c>
      <c r="AL15" s="894" t="s">
        <v>45</v>
      </c>
      <c r="AM15" s="894" t="s">
        <v>1781</v>
      </c>
      <c r="AN15" s="894" t="s">
        <v>46</v>
      </c>
      <c r="AO15" s="894" t="s">
        <v>2024</v>
      </c>
      <c r="AP15" s="894" t="s">
        <v>1822</v>
      </c>
      <c r="AQ15" s="894" t="s">
        <v>2025</v>
      </c>
      <c r="AR15" s="894" t="s">
        <v>41</v>
      </c>
      <c r="AS15" s="894" t="s">
        <v>42</v>
      </c>
      <c r="AT15" s="894" t="s">
        <v>43</v>
      </c>
      <c r="AU15" s="1973" t="s">
        <v>44</v>
      </c>
      <c r="AV15" s="2280" t="s">
        <v>47</v>
      </c>
      <c r="AW15" s="2280" t="s">
        <v>1781</v>
      </c>
      <c r="AX15" s="2280" t="s">
        <v>48</v>
      </c>
      <c r="AY15" s="2280" t="s">
        <v>2621</v>
      </c>
      <c r="AZ15" s="2280" t="s">
        <v>1822</v>
      </c>
      <c r="BA15" s="2280" t="s">
        <v>2454</v>
      </c>
      <c r="BB15" s="2280" t="s">
        <v>41</v>
      </c>
      <c r="BC15" s="2280" t="s">
        <v>42</v>
      </c>
      <c r="BD15" s="2280" t="s">
        <v>43</v>
      </c>
      <c r="BE15" s="2280" t="s">
        <v>44</v>
      </c>
      <c r="BF15" s="2079" t="s">
        <v>49</v>
      </c>
      <c r="BG15" s="2079" t="s">
        <v>1781</v>
      </c>
      <c r="BH15" s="2079" t="s">
        <v>50</v>
      </c>
      <c r="BI15" s="2079" t="s">
        <v>2946</v>
      </c>
      <c r="BJ15" s="2079" t="s">
        <v>1822</v>
      </c>
      <c r="BK15" s="2079" t="s">
        <v>2947</v>
      </c>
      <c r="BL15" s="2079" t="s">
        <v>41</v>
      </c>
      <c r="BM15" s="2079" t="s">
        <v>42</v>
      </c>
      <c r="BN15" s="2079" t="s">
        <v>43</v>
      </c>
      <c r="BO15" s="2479" t="s">
        <v>44</v>
      </c>
    </row>
    <row r="16" spans="1:67" s="842" customFormat="1" ht="93.75" customHeight="1" hidden="1">
      <c r="A16" s="2545">
        <v>1</v>
      </c>
      <c r="B16" s="2545" t="s">
        <v>1098</v>
      </c>
      <c r="C16" s="2519" t="s">
        <v>1099</v>
      </c>
      <c r="D16" s="1108" t="s">
        <v>1100</v>
      </c>
      <c r="E16" s="1109" t="s">
        <v>1101</v>
      </c>
      <c r="F16" s="1110">
        <v>1</v>
      </c>
      <c r="G16" s="1109" t="s">
        <v>1102</v>
      </c>
      <c r="H16" s="1111" t="s">
        <v>1645</v>
      </c>
      <c r="I16" s="1112"/>
      <c r="J16" s="1113" t="s">
        <v>1103</v>
      </c>
      <c r="K16" s="1114">
        <v>42036</v>
      </c>
      <c r="L16" s="1115">
        <v>42185</v>
      </c>
      <c r="M16" s="1112"/>
      <c r="N16" s="1112"/>
      <c r="O16" s="1112"/>
      <c r="P16" s="1112"/>
      <c r="Q16" s="1112"/>
      <c r="R16" s="1112">
        <v>1</v>
      </c>
      <c r="S16" s="1112"/>
      <c r="T16" s="1112"/>
      <c r="U16" s="1112"/>
      <c r="V16" s="1112"/>
      <c r="W16" s="1112"/>
      <c r="X16" s="1112"/>
      <c r="Y16" s="1116">
        <f>SUM(M16:X16)</f>
        <v>1</v>
      </c>
      <c r="Z16" s="1117">
        <v>0</v>
      </c>
      <c r="AA16" s="1118" t="s">
        <v>1104</v>
      </c>
      <c r="AB16" s="1282"/>
      <c r="AC16" s="1640"/>
      <c r="AD16" s="1444"/>
      <c r="AE16" s="1640"/>
      <c r="AF16" s="1640"/>
      <c r="AG16" s="1640"/>
      <c r="AH16" s="1282"/>
      <c r="AI16" s="805"/>
      <c r="AJ16" s="805"/>
      <c r="AK16" s="805"/>
      <c r="AL16" s="894"/>
      <c r="AM16" s="894"/>
      <c r="AN16" s="894"/>
      <c r="AO16" s="894"/>
      <c r="AP16" s="894"/>
      <c r="AQ16" s="894"/>
      <c r="AR16" s="894"/>
      <c r="AS16" s="894"/>
      <c r="AT16" s="894"/>
      <c r="AU16" s="1973"/>
      <c r="AV16" s="1976"/>
      <c r="AW16" s="1976"/>
      <c r="AX16" s="1976"/>
      <c r="AY16" s="1976"/>
      <c r="AZ16" s="1976"/>
      <c r="BA16" s="1976"/>
      <c r="BB16" s="1976"/>
      <c r="BC16" s="1977" t="s">
        <v>1105</v>
      </c>
      <c r="BD16" s="1977" t="s">
        <v>1106</v>
      </c>
      <c r="BE16" s="2518" t="s">
        <v>1107</v>
      </c>
      <c r="BF16" s="1976"/>
      <c r="BG16" s="1976"/>
      <c r="BH16" s="1976"/>
      <c r="BI16" s="1976"/>
      <c r="BJ16" s="1976"/>
      <c r="BK16" s="1976"/>
      <c r="BL16" s="1976"/>
      <c r="BM16" s="2325" t="s">
        <v>1105</v>
      </c>
      <c r="BN16" s="2325" t="s">
        <v>1106</v>
      </c>
      <c r="BO16" s="2518" t="s">
        <v>1107</v>
      </c>
    </row>
    <row r="17" spans="1:67" s="842" customFormat="1" ht="93.75" customHeight="1" hidden="1">
      <c r="A17" s="2545"/>
      <c r="B17" s="2545"/>
      <c r="C17" s="2519"/>
      <c r="D17" s="1119" t="s">
        <v>1108</v>
      </c>
      <c r="E17" s="1120" t="s">
        <v>1109</v>
      </c>
      <c r="F17" s="1110">
        <v>15</v>
      </c>
      <c r="G17" s="1109" t="s">
        <v>1110</v>
      </c>
      <c r="H17" s="1111" t="s">
        <v>1646</v>
      </c>
      <c r="I17" s="1121"/>
      <c r="J17" s="1122" t="s">
        <v>1111</v>
      </c>
      <c r="K17" s="1115">
        <v>42095</v>
      </c>
      <c r="L17" s="1115">
        <v>42247</v>
      </c>
      <c r="M17" s="1121"/>
      <c r="N17" s="1121"/>
      <c r="O17" s="1121">
        <v>3</v>
      </c>
      <c r="P17" s="1121">
        <v>4</v>
      </c>
      <c r="Q17" s="1121">
        <v>4</v>
      </c>
      <c r="R17" s="1121">
        <v>4</v>
      </c>
      <c r="S17" s="1121"/>
      <c r="T17" s="1121"/>
      <c r="U17" s="1121"/>
      <c r="V17" s="1121"/>
      <c r="W17" s="1121"/>
      <c r="X17" s="1121"/>
      <c r="Y17" s="1116">
        <f aca="true" t="shared" si="0" ref="Y17:Y25">SUM(M17:X17)</f>
        <v>15</v>
      </c>
      <c r="Z17" s="1123"/>
      <c r="AA17" s="1118" t="s">
        <v>1112</v>
      </c>
      <c r="AB17" s="1282"/>
      <c r="AC17" s="1640"/>
      <c r="AD17" s="1444"/>
      <c r="AE17" s="1640"/>
      <c r="AF17" s="1640"/>
      <c r="AG17" s="1640"/>
      <c r="AH17" s="1282"/>
      <c r="AI17" s="805"/>
      <c r="AJ17" s="805"/>
      <c r="AK17" s="805"/>
      <c r="AL17" s="894"/>
      <c r="AM17" s="894"/>
      <c r="AN17" s="894"/>
      <c r="AO17" s="894"/>
      <c r="AP17" s="894"/>
      <c r="AQ17" s="894"/>
      <c r="AR17" s="894"/>
      <c r="AS17" s="894"/>
      <c r="AT17" s="894"/>
      <c r="AU17" s="1973"/>
      <c r="AV17" s="1976"/>
      <c r="AW17" s="1976"/>
      <c r="AX17" s="1976"/>
      <c r="AY17" s="1976"/>
      <c r="AZ17" s="1976"/>
      <c r="BA17" s="1976"/>
      <c r="BB17" s="1976"/>
      <c r="BC17" s="1977" t="s">
        <v>1105</v>
      </c>
      <c r="BD17" s="1977"/>
      <c r="BE17" s="2518"/>
      <c r="BF17" s="1976"/>
      <c r="BG17" s="1976"/>
      <c r="BH17" s="1976"/>
      <c r="BI17" s="1976"/>
      <c r="BJ17" s="1976"/>
      <c r="BK17" s="1976"/>
      <c r="BL17" s="1976"/>
      <c r="BM17" s="2325" t="s">
        <v>1105</v>
      </c>
      <c r="BN17" s="2325"/>
      <c r="BO17" s="2518"/>
    </row>
    <row r="18" spans="1:67" s="842" customFormat="1" ht="93.75" customHeight="1" hidden="1">
      <c r="A18" s="2545"/>
      <c r="B18" s="2545"/>
      <c r="C18" s="2519"/>
      <c r="D18" s="1119" t="s">
        <v>1113</v>
      </c>
      <c r="E18" s="1120" t="s">
        <v>1114</v>
      </c>
      <c r="F18" s="1124">
        <v>5</v>
      </c>
      <c r="G18" s="1120" t="s">
        <v>1115</v>
      </c>
      <c r="H18" s="1111" t="s">
        <v>1646</v>
      </c>
      <c r="I18" s="1121"/>
      <c r="J18" s="1122" t="s">
        <v>1116</v>
      </c>
      <c r="K18" s="1115">
        <v>42248</v>
      </c>
      <c r="L18" s="1115">
        <v>42369</v>
      </c>
      <c r="M18" s="1121"/>
      <c r="N18" s="1121"/>
      <c r="O18" s="1121"/>
      <c r="P18" s="1121"/>
      <c r="Q18" s="1121"/>
      <c r="R18" s="1121"/>
      <c r="S18" s="1121"/>
      <c r="T18" s="1121"/>
      <c r="U18" s="1121"/>
      <c r="V18" s="1121"/>
      <c r="W18" s="1121"/>
      <c r="X18" s="1121">
        <v>5</v>
      </c>
      <c r="Y18" s="1116">
        <f t="shared" si="0"/>
        <v>5</v>
      </c>
      <c r="Z18" s="1123"/>
      <c r="AA18" s="1118" t="s">
        <v>1112</v>
      </c>
      <c r="AB18" s="1282"/>
      <c r="AC18" s="1640"/>
      <c r="AD18" s="1444"/>
      <c r="AE18" s="1640"/>
      <c r="AF18" s="1640"/>
      <c r="AG18" s="1640"/>
      <c r="AH18" s="1282"/>
      <c r="AI18" s="805"/>
      <c r="AJ18" s="805"/>
      <c r="AK18" s="805"/>
      <c r="AL18" s="894"/>
      <c r="AM18" s="894"/>
      <c r="AN18" s="894"/>
      <c r="AO18" s="894"/>
      <c r="AP18" s="894"/>
      <c r="AQ18" s="894"/>
      <c r="AR18" s="894"/>
      <c r="AS18" s="894"/>
      <c r="AT18" s="894"/>
      <c r="AU18" s="1973"/>
      <c r="AV18" s="1976"/>
      <c r="AW18" s="1976"/>
      <c r="AX18" s="1976"/>
      <c r="AY18" s="1976"/>
      <c r="AZ18" s="1976"/>
      <c r="BA18" s="1976"/>
      <c r="BB18" s="1976"/>
      <c r="BC18" s="1977" t="s">
        <v>1105</v>
      </c>
      <c r="BD18" s="1977"/>
      <c r="BE18" s="2518"/>
      <c r="BF18" s="1976"/>
      <c r="BG18" s="1976"/>
      <c r="BH18" s="1976"/>
      <c r="BI18" s="1976"/>
      <c r="BJ18" s="1976"/>
      <c r="BK18" s="1976"/>
      <c r="BL18" s="1976"/>
      <c r="BM18" s="2325" t="s">
        <v>1105</v>
      </c>
      <c r="BN18" s="2325"/>
      <c r="BO18" s="2518"/>
    </row>
    <row r="19" spans="1:67" s="842" customFormat="1" ht="96.75" customHeight="1" hidden="1">
      <c r="A19" s="2545"/>
      <c r="B19" s="2545"/>
      <c r="C19" s="1125" t="s">
        <v>1117</v>
      </c>
      <c r="D19" s="1126" t="s">
        <v>1118</v>
      </c>
      <c r="E19" s="1120" t="s">
        <v>72</v>
      </c>
      <c r="F19" s="1124">
        <v>1</v>
      </c>
      <c r="G19" s="1120" t="s">
        <v>1119</v>
      </c>
      <c r="H19" s="1127" t="s">
        <v>1120</v>
      </c>
      <c r="I19" s="1121"/>
      <c r="J19" s="1122" t="s">
        <v>1121</v>
      </c>
      <c r="K19" s="1115">
        <v>42036</v>
      </c>
      <c r="L19" s="1115">
        <v>42185</v>
      </c>
      <c r="M19" s="1121"/>
      <c r="N19" s="1121"/>
      <c r="O19" s="1121"/>
      <c r="P19" s="1121"/>
      <c r="Q19" s="1121"/>
      <c r="R19" s="1121">
        <v>1</v>
      </c>
      <c r="S19" s="1121"/>
      <c r="T19" s="1121"/>
      <c r="U19" s="1121"/>
      <c r="V19" s="1121"/>
      <c r="W19" s="1121"/>
      <c r="X19" s="1121"/>
      <c r="Y19" s="1116">
        <f t="shared" si="0"/>
        <v>1</v>
      </c>
      <c r="Z19" s="1123"/>
      <c r="AA19" s="1128"/>
      <c r="AB19" s="1282"/>
      <c r="AC19" s="1640"/>
      <c r="AD19" s="1444"/>
      <c r="AE19" s="1640"/>
      <c r="AF19" s="1640"/>
      <c r="AG19" s="1640"/>
      <c r="AH19" s="1282"/>
      <c r="AI19" s="805"/>
      <c r="AJ19" s="805"/>
      <c r="AK19" s="805"/>
      <c r="AL19" s="894"/>
      <c r="AM19" s="894"/>
      <c r="AN19" s="894"/>
      <c r="AO19" s="894"/>
      <c r="AP19" s="894"/>
      <c r="AQ19" s="894"/>
      <c r="AR19" s="894"/>
      <c r="AS19" s="894"/>
      <c r="AT19" s="894"/>
      <c r="AU19" s="1973"/>
      <c r="AV19" s="1976"/>
      <c r="AW19" s="1976"/>
      <c r="AX19" s="1976"/>
      <c r="AY19" s="1976"/>
      <c r="AZ19" s="1976"/>
      <c r="BA19" s="1976"/>
      <c r="BB19" s="1976"/>
      <c r="BC19" s="1977" t="s">
        <v>1105</v>
      </c>
      <c r="BD19" s="1977"/>
      <c r="BE19" s="1977" t="s">
        <v>1122</v>
      </c>
      <c r="BF19" s="1976"/>
      <c r="BG19" s="1976"/>
      <c r="BH19" s="1976"/>
      <c r="BI19" s="1976"/>
      <c r="BJ19" s="1976"/>
      <c r="BK19" s="1976"/>
      <c r="BL19" s="1976"/>
      <c r="BM19" s="2325" t="s">
        <v>1105</v>
      </c>
      <c r="BN19" s="2325"/>
      <c r="BO19" s="2325" t="s">
        <v>1122</v>
      </c>
    </row>
    <row r="20" spans="1:67" s="842" customFormat="1" ht="12.75" customHeight="1" hidden="1">
      <c r="A20" s="2545"/>
      <c r="B20" s="2545"/>
      <c r="C20" s="2548" t="s">
        <v>1123</v>
      </c>
      <c r="D20" s="1129" t="s">
        <v>1124</v>
      </c>
      <c r="E20" s="1120" t="s">
        <v>1109</v>
      </c>
      <c r="F20" s="1110">
        <v>15</v>
      </c>
      <c r="G20" s="1109" t="s">
        <v>1110</v>
      </c>
      <c r="H20" s="1130" t="s">
        <v>1125</v>
      </c>
      <c r="I20" s="1112"/>
      <c r="J20" s="1113" t="s">
        <v>1126</v>
      </c>
      <c r="K20" s="1114">
        <v>42064</v>
      </c>
      <c r="L20" s="1114">
        <v>42247</v>
      </c>
      <c r="M20" s="1112"/>
      <c r="N20" s="1112"/>
      <c r="O20" s="1112">
        <v>3</v>
      </c>
      <c r="P20" s="1112">
        <v>4</v>
      </c>
      <c r="Q20" s="1112">
        <v>4</v>
      </c>
      <c r="R20" s="1112">
        <v>4</v>
      </c>
      <c r="S20" s="1112"/>
      <c r="T20" s="1112"/>
      <c r="U20" s="1112"/>
      <c r="V20" s="1112"/>
      <c r="W20" s="1112"/>
      <c r="X20" s="1112"/>
      <c r="Y20" s="1116">
        <f t="shared" si="0"/>
        <v>15</v>
      </c>
      <c r="Z20" s="1131">
        <v>78039000</v>
      </c>
      <c r="AA20" s="1118" t="s">
        <v>1112</v>
      </c>
      <c r="AB20" s="1282"/>
      <c r="AC20" s="1640"/>
      <c r="AD20" s="1444"/>
      <c r="AE20" s="1640"/>
      <c r="AF20" s="1640"/>
      <c r="AG20" s="1640"/>
      <c r="AH20" s="1282"/>
      <c r="AI20" s="805"/>
      <c r="AJ20" s="805"/>
      <c r="AK20" s="805"/>
      <c r="AL20" s="894"/>
      <c r="AM20" s="894"/>
      <c r="AN20" s="894"/>
      <c r="AO20" s="894"/>
      <c r="AP20" s="894"/>
      <c r="AQ20" s="894"/>
      <c r="AR20" s="894"/>
      <c r="AS20" s="894"/>
      <c r="AT20" s="894"/>
      <c r="AU20" s="1973"/>
      <c r="AV20" s="1976"/>
      <c r="AW20" s="1976"/>
      <c r="AX20" s="1976"/>
      <c r="AY20" s="1976"/>
      <c r="AZ20" s="1976"/>
      <c r="BA20" s="1976"/>
      <c r="BB20" s="1976"/>
      <c r="BC20" s="1977" t="s">
        <v>1105</v>
      </c>
      <c r="BD20" s="1977"/>
      <c r="BE20" s="1977" t="s">
        <v>1127</v>
      </c>
      <c r="BF20" s="1976"/>
      <c r="BG20" s="1976"/>
      <c r="BH20" s="1976"/>
      <c r="BI20" s="1976"/>
      <c r="BJ20" s="1976"/>
      <c r="BK20" s="1976"/>
      <c r="BL20" s="1976"/>
      <c r="BM20" s="2325" t="s">
        <v>1105</v>
      </c>
      <c r="BN20" s="2325"/>
      <c r="BO20" s="2325" t="s">
        <v>1127</v>
      </c>
    </row>
    <row r="21" spans="1:67" s="842" customFormat="1" ht="77.25" customHeight="1" hidden="1" thickBot="1">
      <c r="A21" s="2545"/>
      <c r="B21" s="2545"/>
      <c r="C21" s="2548"/>
      <c r="D21" s="1132" t="s">
        <v>1128</v>
      </c>
      <c r="E21" s="1133" t="s">
        <v>586</v>
      </c>
      <c r="F21" s="1134">
        <v>5</v>
      </c>
      <c r="G21" s="1133" t="s">
        <v>1129</v>
      </c>
      <c r="H21" s="1130" t="s">
        <v>1125</v>
      </c>
      <c r="I21" s="1112"/>
      <c r="J21" s="1113" t="s">
        <v>1130</v>
      </c>
      <c r="K21" s="1114">
        <v>42248</v>
      </c>
      <c r="L21" s="1114">
        <v>42369</v>
      </c>
      <c r="M21" s="1112"/>
      <c r="N21" s="1112"/>
      <c r="O21" s="1112"/>
      <c r="P21" s="1112"/>
      <c r="Q21" s="1112"/>
      <c r="R21" s="1112"/>
      <c r="S21" s="1112"/>
      <c r="T21" s="1112"/>
      <c r="U21" s="1112"/>
      <c r="V21" s="1112"/>
      <c r="W21" s="1112"/>
      <c r="X21" s="1112">
        <v>5</v>
      </c>
      <c r="Y21" s="1116">
        <f t="shared" si="0"/>
        <v>5</v>
      </c>
      <c r="Z21" s="1131">
        <v>8671000</v>
      </c>
      <c r="AA21" s="1118" t="s">
        <v>1112</v>
      </c>
      <c r="AB21" s="1282"/>
      <c r="AC21" s="1640"/>
      <c r="AD21" s="1444"/>
      <c r="AE21" s="1640"/>
      <c r="AF21" s="1640"/>
      <c r="AG21" s="1640"/>
      <c r="AH21" s="1282"/>
      <c r="AI21" s="805"/>
      <c r="AJ21" s="805"/>
      <c r="AK21" s="805"/>
      <c r="AL21" s="894"/>
      <c r="AM21" s="894"/>
      <c r="AN21" s="894"/>
      <c r="AO21" s="894"/>
      <c r="AP21" s="894"/>
      <c r="AQ21" s="894"/>
      <c r="AR21" s="894"/>
      <c r="AS21" s="894"/>
      <c r="AT21" s="894"/>
      <c r="AU21" s="1973"/>
      <c r="AV21" s="1976"/>
      <c r="AW21" s="1976"/>
      <c r="AX21" s="1976"/>
      <c r="AY21" s="1976"/>
      <c r="AZ21" s="1976"/>
      <c r="BA21" s="1976"/>
      <c r="BB21" s="1976"/>
      <c r="BC21" s="1977" t="s">
        <v>1105</v>
      </c>
      <c r="BD21" s="1977"/>
      <c r="BE21" s="1977" t="s">
        <v>1127</v>
      </c>
      <c r="BF21" s="1976"/>
      <c r="BG21" s="1976"/>
      <c r="BH21" s="1976"/>
      <c r="BI21" s="1976"/>
      <c r="BJ21" s="1976"/>
      <c r="BK21" s="1976"/>
      <c r="BL21" s="1976"/>
      <c r="BM21" s="2325" t="s">
        <v>1105</v>
      </c>
      <c r="BN21" s="2325"/>
      <c r="BO21" s="2325" t="s">
        <v>1127</v>
      </c>
    </row>
    <row r="22" spans="1:67" s="842" customFormat="1" ht="197.25" customHeight="1" thickBot="1">
      <c r="A22" s="2545"/>
      <c r="B22" s="2545"/>
      <c r="C22" s="1135" t="s">
        <v>1647</v>
      </c>
      <c r="D22" s="891" t="s">
        <v>3125</v>
      </c>
      <c r="E22" s="1073" t="s">
        <v>1648</v>
      </c>
      <c r="F22" s="1136">
        <v>1</v>
      </c>
      <c r="G22" s="1073" t="s">
        <v>3126</v>
      </c>
      <c r="H22" s="997" t="s">
        <v>1120</v>
      </c>
      <c r="I22" s="1137">
        <f>100%/4</f>
        <v>0.25</v>
      </c>
      <c r="J22" s="1060" t="s">
        <v>1649</v>
      </c>
      <c r="K22" s="910"/>
      <c r="L22" s="910">
        <v>42155</v>
      </c>
      <c r="M22" s="870"/>
      <c r="N22" s="870"/>
      <c r="O22" s="870"/>
      <c r="P22" s="870">
        <v>1</v>
      </c>
      <c r="Q22" s="870"/>
      <c r="R22" s="870"/>
      <c r="S22" s="870"/>
      <c r="T22" s="870"/>
      <c r="U22" s="870"/>
      <c r="V22" s="870"/>
      <c r="W22" s="870"/>
      <c r="X22" s="870"/>
      <c r="Y22" s="970">
        <f>SUM(M22:X22)</f>
        <v>1</v>
      </c>
      <c r="Z22" s="1138" t="s">
        <v>1090</v>
      </c>
      <c r="AA22" s="1139"/>
      <c r="AB22" s="1282">
        <f>SUM(M22:N22)</f>
        <v>0</v>
      </c>
      <c r="AC22" s="1640">
        <f>IF(AB22=0,0%,100%)</f>
        <v>0</v>
      </c>
      <c r="AD22" s="1444">
        <f>SUM(M22:N22)</f>
        <v>0</v>
      </c>
      <c r="AE22" s="1640" t="s">
        <v>1090</v>
      </c>
      <c r="AF22" s="1640">
        <f>AD22/Y22</f>
        <v>0</v>
      </c>
      <c r="AG22" s="1640">
        <f>AF22</f>
        <v>0</v>
      </c>
      <c r="AH22" s="1282">
        <v>0</v>
      </c>
      <c r="AI22" s="805">
        <v>0</v>
      </c>
      <c r="AJ22" s="805"/>
      <c r="AK22" s="805"/>
      <c r="AL22" s="1928">
        <f>SUM(M22:P22)</f>
        <v>1</v>
      </c>
      <c r="AM22" s="1929">
        <f aca="true" t="shared" si="1" ref="AM22:AM36">IF(AL22=0,0%,100%)</f>
        <v>1</v>
      </c>
      <c r="AN22" s="1930"/>
      <c r="AO22" s="1929" t="s">
        <v>1090</v>
      </c>
      <c r="AP22" s="1929">
        <f>AN22/Y22</f>
        <v>0</v>
      </c>
      <c r="AQ22" s="1929">
        <v>0</v>
      </c>
      <c r="AR22" s="894"/>
      <c r="AS22" s="894"/>
      <c r="AT22" s="894"/>
      <c r="AU22" s="1973"/>
      <c r="AV22" s="2267">
        <f>SUM(M22:R22)</f>
        <v>1</v>
      </c>
      <c r="AW22" s="2271">
        <f aca="true" t="shared" si="2" ref="AW22:AW36">IF(AV22=0,0%,100%)</f>
        <v>1</v>
      </c>
      <c r="AX22" s="2267">
        <v>0</v>
      </c>
      <c r="AY22" s="2271">
        <v>1</v>
      </c>
      <c r="AZ22" s="2271">
        <v>0</v>
      </c>
      <c r="BA22" s="2271">
        <v>1</v>
      </c>
      <c r="BB22" s="2302">
        <v>0</v>
      </c>
      <c r="BC22" s="1977" t="s">
        <v>1090</v>
      </c>
      <c r="BD22" s="2277"/>
      <c r="BE22" s="2277"/>
      <c r="BF22" s="2344">
        <f>SUM(M22:T22)</f>
        <v>1</v>
      </c>
      <c r="BG22" s="2345">
        <f aca="true" t="shared" si="3" ref="BG22:BG36">IF(BF22=0,0%,100%)</f>
        <v>1</v>
      </c>
      <c r="BH22" s="2344">
        <v>1</v>
      </c>
      <c r="BI22" s="2345">
        <v>1</v>
      </c>
      <c r="BJ22" s="2345"/>
      <c r="BK22" s="2345">
        <v>1</v>
      </c>
      <c r="BL22" s="2346"/>
      <c r="BM22" s="2347"/>
      <c r="BN22" s="2348" t="s">
        <v>3127</v>
      </c>
      <c r="BO22" s="2348"/>
    </row>
    <row r="23" spans="1:67" s="842" customFormat="1" ht="75.75" customHeight="1" thickBot="1">
      <c r="A23" s="2545"/>
      <c r="B23" s="2545"/>
      <c r="C23" s="1135" t="s">
        <v>1650</v>
      </c>
      <c r="D23" s="1082" t="s">
        <v>1651</v>
      </c>
      <c r="E23" s="1080" t="s">
        <v>1132</v>
      </c>
      <c r="F23" s="1005">
        <v>4</v>
      </c>
      <c r="G23" s="2318" t="s">
        <v>1133</v>
      </c>
      <c r="H23" s="1005" t="s">
        <v>1134</v>
      </c>
      <c r="I23" s="1137">
        <f>100%/4</f>
        <v>0.25</v>
      </c>
      <c r="J23" s="857" t="s">
        <v>1135</v>
      </c>
      <c r="K23" s="1070">
        <v>42036</v>
      </c>
      <c r="L23" s="1070">
        <v>42338</v>
      </c>
      <c r="M23" s="870"/>
      <c r="N23" s="870"/>
      <c r="O23" s="870"/>
      <c r="P23" s="870"/>
      <c r="Q23" s="870"/>
      <c r="R23" s="870"/>
      <c r="S23" s="870"/>
      <c r="T23" s="870"/>
      <c r="U23" s="870"/>
      <c r="V23" s="870"/>
      <c r="W23" s="870">
        <v>4</v>
      </c>
      <c r="X23" s="870"/>
      <c r="Y23" s="962">
        <f t="shared" si="0"/>
        <v>4</v>
      </c>
      <c r="Z23" s="868">
        <f>72450000</f>
        <v>72450000</v>
      </c>
      <c r="AA23" s="850" t="s">
        <v>1136</v>
      </c>
      <c r="AB23" s="1282">
        <f aca="true" t="shared" si="4" ref="AB23:AB25">SUM(M23:N23)</f>
        <v>0</v>
      </c>
      <c r="AC23" s="1640">
        <v>0</v>
      </c>
      <c r="AD23" s="1444">
        <f aca="true" t="shared" si="5" ref="AD23:AD35">SUM(M23:N23)</f>
        <v>0</v>
      </c>
      <c r="AE23" s="1640" t="s">
        <v>1090</v>
      </c>
      <c r="AF23" s="1640">
        <f aca="true" t="shared" si="6" ref="AF23:AF36">AD23/Y23</f>
        <v>0</v>
      </c>
      <c r="AG23" s="1640">
        <f aca="true" t="shared" si="7" ref="AG23:AG36">AF23</f>
        <v>0</v>
      </c>
      <c r="AH23" s="1282">
        <v>0</v>
      </c>
      <c r="AI23" s="805">
        <v>0</v>
      </c>
      <c r="AJ23" s="805"/>
      <c r="AK23" s="805"/>
      <c r="AL23" s="1928">
        <f aca="true" t="shared" si="8" ref="AL23:AL25">SUM(M23:P23)</f>
        <v>0</v>
      </c>
      <c r="AM23" s="1929">
        <f t="shared" si="1"/>
        <v>0</v>
      </c>
      <c r="AN23" s="1931">
        <v>0</v>
      </c>
      <c r="AO23" s="1929" t="s">
        <v>1090</v>
      </c>
      <c r="AP23" s="1929">
        <f aca="true" t="shared" si="9" ref="AP23:AP25">AN23/Y23</f>
        <v>0</v>
      </c>
      <c r="AQ23" s="1929">
        <v>0</v>
      </c>
      <c r="AR23" s="1079"/>
      <c r="AS23" s="1079"/>
      <c r="AT23" s="1923" t="s">
        <v>2444</v>
      </c>
      <c r="AU23" s="1974"/>
      <c r="AV23" s="2267">
        <f aca="true" t="shared" si="10" ref="AV23:AV25">SUM(M23:R23)</f>
        <v>0</v>
      </c>
      <c r="AW23" s="2271">
        <f t="shared" si="2"/>
        <v>0</v>
      </c>
      <c r="AX23" s="2276">
        <v>0</v>
      </c>
      <c r="AY23" s="2286" t="s">
        <v>1090</v>
      </c>
      <c r="AZ23" s="2286">
        <v>0</v>
      </c>
      <c r="BA23" s="2286">
        <v>0</v>
      </c>
      <c r="BB23" s="2302">
        <v>0</v>
      </c>
      <c r="BC23" s="2285" t="s">
        <v>1090</v>
      </c>
      <c r="BD23" s="2277" t="s">
        <v>2444</v>
      </c>
      <c r="BE23" s="2277"/>
      <c r="BF23" s="2344">
        <f aca="true" t="shared" si="11" ref="BF23:BF25">SUM(M23:T23)</f>
        <v>0</v>
      </c>
      <c r="BG23" s="2345">
        <f t="shared" si="3"/>
        <v>0</v>
      </c>
      <c r="BH23" s="2349" t="s">
        <v>1090</v>
      </c>
      <c r="BI23" s="2350" t="s">
        <v>1090</v>
      </c>
      <c r="BJ23" s="2350"/>
      <c r="BK23" s="2350">
        <v>0</v>
      </c>
      <c r="BL23" s="2346"/>
      <c r="BM23" s="2347"/>
      <c r="BN23" s="2348" t="s">
        <v>3128</v>
      </c>
      <c r="BO23" s="2348"/>
    </row>
    <row r="24" spans="1:67" s="842" customFormat="1" ht="99.95" customHeight="1" thickBot="1">
      <c r="A24" s="2545"/>
      <c r="B24" s="2545"/>
      <c r="C24" s="1135" t="s">
        <v>1137</v>
      </c>
      <c r="D24" s="1081" t="s">
        <v>1138</v>
      </c>
      <c r="E24" s="1080" t="s">
        <v>1139</v>
      </c>
      <c r="F24" s="1005">
        <v>1</v>
      </c>
      <c r="G24" s="2318" t="s">
        <v>1140</v>
      </c>
      <c r="H24" s="1005" t="s">
        <v>1141</v>
      </c>
      <c r="I24" s="1137">
        <f>100%/4</f>
        <v>0.25</v>
      </c>
      <c r="J24" s="1014" t="s">
        <v>1142</v>
      </c>
      <c r="K24" s="1070">
        <v>42036</v>
      </c>
      <c r="L24" s="1070">
        <v>42369</v>
      </c>
      <c r="M24" s="876"/>
      <c r="N24" s="876"/>
      <c r="O24" s="876"/>
      <c r="P24" s="876"/>
      <c r="Q24" s="876"/>
      <c r="R24" s="876"/>
      <c r="S24" s="876"/>
      <c r="T24" s="2289"/>
      <c r="U24" s="876"/>
      <c r="V24" s="876"/>
      <c r="W24" s="876">
        <v>1</v>
      </c>
      <c r="X24" s="876"/>
      <c r="Y24" s="962">
        <f t="shared" si="0"/>
        <v>1</v>
      </c>
      <c r="Z24" s="868">
        <f>72450000</f>
        <v>72450000</v>
      </c>
      <c r="AA24" s="850" t="s">
        <v>1136</v>
      </c>
      <c r="AB24" s="1282">
        <f t="shared" si="4"/>
        <v>0</v>
      </c>
      <c r="AC24" s="1640">
        <f>IF(AB24=0,0%,100%)</f>
        <v>0</v>
      </c>
      <c r="AD24" s="1444">
        <f t="shared" si="5"/>
        <v>0</v>
      </c>
      <c r="AE24" s="1640" t="s">
        <v>1090</v>
      </c>
      <c r="AF24" s="1640">
        <f t="shared" si="6"/>
        <v>0</v>
      </c>
      <c r="AG24" s="1640">
        <f t="shared" si="7"/>
        <v>0</v>
      </c>
      <c r="AH24" s="1282">
        <v>0</v>
      </c>
      <c r="AI24" s="805">
        <v>0</v>
      </c>
      <c r="AJ24" s="805" t="s">
        <v>1793</v>
      </c>
      <c r="AK24" s="805"/>
      <c r="AL24" s="1928">
        <f t="shared" si="8"/>
        <v>0</v>
      </c>
      <c r="AM24" s="1929">
        <f t="shared" si="1"/>
        <v>0</v>
      </c>
      <c r="AN24" s="1930">
        <v>0</v>
      </c>
      <c r="AO24" s="1929" t="s">
        <v>1090</v>
      </c>
      <c r="AP24" s="1929">
        <f t="shared" si="9"/>
        <v>0</v>
      </c>
      <c r="AQ24" s="1929">
        <v>0</v>
      </c>
      <c r="AR24" s="894"/>
      <c r="AS24" s="894"/>
      <c r="AT24" s="1923" t="s">
        <v>2444</v>
      </c>
      <c r="AU24" s="1973"/>
      <c r="AV24" s="2267">
        <f t="shared" si="10"/>
        <v>0</v>
      </c>
      <c r="AW24" s="2271">
        <f t="shared" si="2"/>
        <v>0</v>
      </c>
      <c r="AX24" s="2267">
        <v>0</v>
      </c>
      <c r="AY24" s="2271" t="s">
        <v>1090</v>
      </c>
      <c r="AZ24" s="2271">
        <v>0</v>
      </c>
      <c r="BA24" s="2271">
        <v>0</v>
      </c>
      <c r="BB24" s="2302">
        <v>0</v>
      </c>
      <c r="BC24" s="2285" t="s">
        <v>1090</v>
      </c>
      <c r="BD24" s="2277" t="s">
        <v>2444</v>
      </c>
      <c r="BE24" s="2277"/>
      <c r="BF24" s="2344">
        <f t="shared" si="11"/>
        <v>0</v>
      </c>
      <c r="BG24" s="2345">
        <f t="shared" si="3"/>
        <v>0</v>
      </c>
      <c r="BH24" s="2344" t="s">
        <v>1090</v>
      </c>
      <c r="BI24" s="2345" t="s">
        <v>1090</v>
      </c>
      <c r="BJ24" s="2345"/>
      <c r="BK24" s="2345">
        <v>0</v>
      </c>
      <c r="BL24" s="2346"/>
      <c r="BM24" s="2347"/>
      <c r="BN24" s="2348" t="s">
        <v>3129</v>
      </c>
      <c r="BO24" s="2348"/>
    </row>
    <row r="25" spans="1:67" s="842" customFormat="1" ht="105" customHeight="1" thickBot="1">
      <c r="A25" s="2545"/>
      <c r="B25" s="2545"/>
      <c r="C25" s="1051" t="s">
        <v>1143</v>
      </c>
      <c r="D25" s="1140" t="s">
        <v>1652</v>
      </c>
      <c r="E25" s="885" t="s">
        <v>72</v>
      </c>
      <c r="F25" s="824">
        <v>1</v>
      </c>
      <c r="G25" s="885" t="s">
        <v>73</v>
      </c>
      <c r="H25" s="1005" t="s">
        <v>1653</v>
      </c>
      <c r="I25" s="1137">
        <f>100%/4</f>
        <v>0.25</v>
      </c>
      <c r="J25" s="802" t="s">
        <v>1144</v>
      </c>
      <c r="K25" s="877">
        <v>42005</v>
      </c>
      <c r="L25" s="877">
        <v>42369</v>
      </c>
      <c r="M25" s="876"/>
      <c r="N25" s="876"/>
      <c r="O25" s="876"/>
      <c r="P25" s="876"/>
      <c r="Q25" s="876"/>
      <c r="R25" s="876"/>
      <c r="S25" s="876"/>
      <c r="T25" s="876"/>
      <c r="U25" s="876"/>
      <c r="V25" s="876"/>
      <c r="W25" s="876"/>
      <c r="X25" s="876">
        <v>1</v>
      </c>
      <c r="Y25" s="962">
        <f t="shared" si="0"/>
        <v>1</v>
      </c>
      <c r="Z25" s="917">
        <v>0</v>
      </c>
      <c r="AA25" s="1141" t="s">
        <v>1090</v>
      </c>
      <c r="AB25" s="1282">
        <f t="shared" si="4"/>
        <v>0</v>
      </c>
      <c r="AC25" s="1640">
        <f>IF(AB25=0,0%,100%)</f>
        <v>0</v>
      </c>
      <c r="AD25" s="1444">
        <f t="shared" si="5"/>
        <v>0</v>
      </c>
      <c r="AE25" s="1640" t="s">
        <v>1090</v>
      </c>
      <c r="AF25" s="1640">
        <f t="shared" si="6"/>
        <v>0</v>
      </c>
      <c r="AG25" s="1640">
        <f t="shared" si="7"/>
        <v>0</v>
      </c>
      <c r="AH25" s="1282">
        <v>0</v>
      </c>
      <c r="AI25" s="805">
        <v>0</v>
      </c>
      <c r="AJ25" s="805"/>
      <c r="AK25" s="805"/>
      <c r="AL25" s="1928">
        <f t="shared" si="8"/>
        <v>0</v>
      </c>
      <c r="AM25" s="1929">
        <f t="shared" si="1"/>
        <v>0</v>
      </c>
      <c r="AN25" s="1930">
        <v>0</v>
      </c>
      <c r="AO25" s="1929" t="s">
        <v>1090</v>
      </c>
      <c r="AP25" s="1929">
        <f t="shared" si="9"/>
        <v>0</v>
      </c>
      <c r="AQ25" s="1929">
        <v>0</v>
      </c>
      <c r="AR25" s="894"/>
      <c r="AS25" s="894"/>
      <c r="AT25" s="894"/>
      <c r="AU25" s="1973"/>
      <c r="AV25" s="2267">
        <f t="shared" si="10"/>
        <v>0</v>
      </c>
      <c r="AW25" s="2271">
        <f t="shared" si="2"/>
        <v>0</v>
      </c>
      <c r="AX25" s="2267">
        <v>0</v>
      </c>
      <c r="AY25" s="2271" t="s">
        <v>1090</v>
      </c>
      <c r="AZ25" s="2271">
        <v>0</v>
      </c>
      <c r="BA25" s="2271">
        <v>0</v>
      </c>
      <c r="BB25" s="2302">
        <v>0</v>
      </c>
      <c r="BC25" s="2285" t="s">
        <v>1090</v>
      </c>
      <c r="BD25" s="2277"/>
      <c r="BE25" s="2277"/>
      <c r="BF25" s="2344">
        <f t="shared" si="11"/>
        <v>0</v>
      </c>
      <c r="BG25" s="2345">
        <f t="shared" si="3"/>
        <v>0</v>
      </c>
      <c r="BH25" s="2344" t="s">
        <v>1090</v>
      </c>
      <c r="BI25" s="2345" t="s">
        <v>1090</v>
      </c>
      <c r="BJ25" s="2345"/>
      <c r="BK25" s="2345">
        <v>0</v>
      </c>
      <c r="BL25" s="2346"/>
      <c r="BM25" s="2347"/>
      <c r="BN25" s="2348"/>
      <c r="BO25" s="2348"/>
    </row>
    <row r="26" spans="1:67" s="842" customFormat="1" ht="20.1" customHeight="1" thickBot="1">
      <c r="A26" s="2556" t="s">
        <v>130</v>
      </c>
      <c r="B26" s="2556"/>
      <c r="C26" s="2556"/>
      <c r="D26" s="2556"/>
      <c r="E26" s="848"/>
      <c r="F26" s="848"/>
      <c r="G26" s="848"/>
      <c r="H26" s="848"/>
      <c r="I26" s="1142">
        <f>SUM(I22:I25)</f>
        <v>1</v>
      </c>
      <c r="J26" s="848"/>
      <c r="K26" s="848"/>
      <c r="L26" s="848"/>
      <c r="M26" s="848"/>
      <c r="N26" s="848"/>
      <c r="O26" s="848"/>
      <c r="P26" s="848"/>
      <c r="Q26" s="848"/>
      <c r="R26" s="848"/>
      <c r="S26" s="848"/>
      <c r="T26" s="848"/>
      <c r="U26" s="848"/>
      <c r="V26" s="848"/>
      <c r="W26" s="848"/>
      <c r="X26" s="848"/>
      <c r="Y26" s="848"/>
      <c r="Z26" s="1013">
        <f>SUM(Z16:Z25)</f>
        <v>231610000</v>
      </c>
      <c r="AA26" s="846"/>
      <c r="AB26" s="1463"/>
      <c r="AC26" s="1464" t="s">
        <v>1090</v>
      </c>
      <c r="AD26" s="1599">
        <f t="shared" si="5"/>
        <v>0</v>
      </c>
      <c r="AE26" s="1464" t="s">
        <v>1090</v>
      </c>
      <c r="AF26" s="1464"/>
      <c r="AG26" s="1464">
        <f>AVERAGE(AG22:AG25)</f>
        <v>0</v>
      </c>
      <c r="AH26" s="1465"/>
      <c r="AI26" s="1466"/>
      <c r="AJ26" s="1466"/>
      <c r="AK26" s="1466"/>
      <c r="AL26" s="1935"/>
      <c r="AM26" s="1936">
        <f>AVERAGEIF(AM16:AM25,"&gt;0")</f>
        <v>1</v>
      </c>
      <c r="AN26" s="1935"/>
      <c r="AO26" s="1935" t="s">
        <v>1090</v>
      </c>
      <c r="AP26" s="1935"/>
      <c r="AQ26" s="1937">
        <f>AVERAGE(AQ22:AQ25)</f>
        <v>0</v>
      </c>
      <c r="AR26" s="1935"/>
      <c r="AS26" s="1935"/>
      <c r="AT26" s="844"/>
      <c r="AU26" s="844"/>
      <c r="AV26" s="1975"/>
      <c r="AW26" s="2281">
        <v>1</v>
      </c>
      <c r="AX26" s="1975"/>
      <c r="AY26" s="2288">
        <f>AVERAGE(AY22:AY25)</f>
        <v>1</v>
      </c>
      <c r="AZ26" s="1975"/>
      <c r="BA26" s="2295">
        <f>AVERAGE(BA22:BA25)</f>
        <v>0.25</v>
      </c>
      <c r="BB26" s="1975"/>
      <c r="BC26" s="1975"/>
      <c r="BD26" s="1975"/>
      <c r="BE26" s="1975"/>
      <c r="BF26" s="1975"/>
      <c r="BG26" s="2281">
        <v>1</v>
      </c>
      <c r="BH26" s="1975"/>
      <c r="BI26" s="2288">
        <f>AVERAGE(BI22:BI25)</f>
        <v>1</v>
      </c>
      <c r="BJ26" s="1975"/>
      <c r="BK26" s="2295">
        <f>AVERAGE(BK22:BK25)</f>
        <v>0.25</v>
      </c>
      <c r="BL26" s="1975"/>
      <c r="BM26" s="1975"/>
      <c r="BN26" s="1975"/>
      <c r="BO26" s="1975"/>
    </row>
    <row r="27" spans="1:67" s="842" customFormat="1" ht="78" customHeight="1" thickBot="1">
      <c r="A27" s="2545">
        <v>2</v>
      </c>
      <c r="B27" s="2545" t="s">
        <v>628</v>
      </c>
      <c r="C27" s="2558" t="s">
        <v>1654</v>
      </c>
      <c r="D27" s="1065" t="s">
        <v>1655</v>
      </c>
      <c r="E27" s="885" t="s">
        <v>1656</v>
      </c>
      <c r="F27" s="1074">
        <v>17</v>
      </c>
      <c r="G27" s="885" t="s">
        <v>1657</v>
      </c>
      <c r="H27" s="1005" t="s">
        <v>1146</v>
      </c>
      <c r="I27" s="1143">
        <v>0.1</v>
      </c>
      <c r="J27" s="802" t="s">
        <v>1147</v>
      </c>
      <c r="K27" s="877">
        <v>42036</v>
      </c>
      <c r="L27" s="877">
        <v>42185</v>
      </c>
      <c r="M27" s="1066"/>
      <c r="N27" s="1066">
        <v>13</v>
      </c>
      <c r="O27" s="1066"/>
      <c r="P27" s="1066">
        <v>4</v>
      </c>
      <c r="Q27" s="1066"/>
      <c r="R27" s="1066"/>
      <c r="S27" s="1066"/>
      <c r="T27" s="1066"/>
      <c r="U27" s="1066"/>
      <c r="V27" s="1066"/>
      <c r="W27" s="1066"/>
      <c r="X27" s="1066"/>
      <c r="Y27" s="995">
        <f>SUM(M27:X27)</f>
        <v>17</v>
      </c>
      <c r="Z27" s="917">
        <v>0</v>
      </c>
      <c r="AA27" s="1141" t="s">
        <v>1090</v>
      </c>
      <c r="AB27" s="1282">
        <f>SUM(M27:N27)</f>
        <v>13</v>
      </c>
      <c r="AC27" s="1640">
        <f aca="true" t="shared" si="12" ref="AC27:AC30">IF(AB27=0,0%,100%)</f>
        <v>1</v>
      </c>
      <c r="AD27" s="1444">
        <v>10</v>
      </c>
      <c r="AE27" s="1640">
        <f aca="true" t="shared" si="13" ref="AE27">AD27/AB27</f>
        <v>0.7692307692307693</v>
      </c>
      <c r="AF27" s="1640">
        <f t="shared" si="6"/>
        <v>0.5882352941176471</v>
      </c>
      <c r="AG27" s="1640">
        <f t="shared" si="7"/>
        <v>0.5882352941176471</v>
      </c>
      <c r="AH27" s="1282">
        <v>0</v>
      </c>
      <c r="AI27" s="805">
        <v>0</v>
      </c>
      <c r="AJ27" s="805" t="s">
        <v>1981</v>
      </c>
      <c r="AK27" s="805"/>
      <c r="AL27" s="1928">
        <f>SUM(M27:P27)</f>
        <v>17</v>
      </c>
      <c r="AM27" s="1929">
        <f t="shared" si="1"/>
        <v>1</v>
      </c>
      <c r="AN27" s="1928">
        <v>17</v>
      </c>
      <c r="AO27" s="1929">
        <f>AN27/AL27</f>
        <v>1</v>
      </c>
      <c r="AP27" s="1929">
        <f>AN27/Y27</f>
        <v>1</v>
      </c>
      <c r="AQ27" s="1929">
        <f aca="true" t="shared" si="14" ref="AQ27:AQ31">IF(AM27&gt;0,AO27,"-")</f>
        <v>1</v>
      </c>
      <c r="AR27" s="894"/>
      <c r="AS27" s="894"/>
      <c r="AT27" s="894"/>
      <c r="AU27" s="894"/>
      <c r="AV27" s="2268">
        <f>SUM(M27:R27)</f>
        <v>17</v>
      </c>
      <c r="AW27" s="2251">
        <f t="shared" si="2"/>
        <v>1</v>
      </c>
      <c r="AX27" s="2268">
        <v>17</v>
      </c>
      <c r="AY27" s="2251">
        <v>1</v>
      </c>
      <c r="AZ27" s="2251">
        <v>1</v>
      </c>
      <c r="BA27" s="2251">
        <v>1</v>
      </c>
      <c r="BB27" s="2303">
        <v>0</v>
      </c>
      <c r="BC27" s="2268" t="s">
        <v>1090</v>
      </c>
      <c r="BD27" s="2199"/>
      <c r="BE27" s="2199"/>
      <c r="BF27" s="2351">
        <f>SUM(M27:T27)</f>
        <v>17</v>
      </c>
      <c r="BG27" s="2352">
        <f t="shared" si="3"/>
        <v>1</v>
      </c>
      <c r="BH27" s="2351">
        <v>17</v>
      </c>
      <c r="BI27" s="2352">
        <v>1</v>
      </c>
      <c r="BJ27" s="2352"/>
      <c r="BK27" s="2352">
        <v>1</v>
      </c>
      <c r="BL27" s="2353"/>
      <c r="BM27" s="2351"/>
      <c r="BN27" s="2354"/>
      <c r="BO27" s="2354"/>
    </row>
    <row r="28" spans="1:67" s="842" customFormat="1" ht="81.75" customHeight="1" thickBot="1">
      <c r="A28" s="2557"/>
      <c r="B28" s="2557"/>
      <c r="C28" s="2558"/>
      <c r="D28" s="874" t="s">
        <v>1148</v>
      </c>
      <c r="E28" s="887" t="s">
        <v>1149</v>
      </c>
      <c r="F28" s="1049">
        <v>1</v>
      </c>
      <c r="G28" s="887" t="s">
        <v>1150</v>
      </c>
      <c r="H28" s="1005" t="s">
        <v>1134</v>
      </c>
      <c r="I28" s="1143">
        <v>0.1</v>
      </c>
      <c r="J28" s="809" t="s">
        <v>1151</v>
      </c>
      <c r="K28" s="871">
        <v>42064</v>
      </c>
      <c r="L28" s="871">
        <v>42369</v>
      </c>
      <c r="M28" s="870"/>
      <c r="N28" s="870"/>
      <c r="O28" s="870"/>
      <c r="P28" s="870"/>
      <c r="Q28" s="870"/>
      <c r="R28" s="870"/>
      <c r="S28" s="870"/>
      <c r="T28" s="870"/>
      <c r="U28" s="870"/>
      <c r="V28" s="870"/>
      <c r="W28" s="870"/>
      <c r="X28" s="870">
        <v>1</v>
      </c>
      <c r="Y28" s="995">
        <f>SUM(M28:X28)</f>
        <v>1</v>
      </c>
      <c r="Z28" s="868">
        <v>63000000</v>
      </c>
      <c r="AA28" s="850" t="s">
        <v>1136</v>
      </c>
      <c r="AB28" s="1282">
        <f aca="true" t="shared" si="15" ref="AB28:AB36">SUM(M28:N28)</f>
        <v>0</v>
      </c>
      <c r="AC28" s="1640">
        <f t="shared" si="12"/>
        <v>0</v>
      </c>
      <c r="AD28" s="1444">
        <f t="shared" si="5"/>
        <v>0</v>
      </c>
      <c r="AE28" s="1640" t="s">
        <v>1090</v>
      </c>
      <c r="AF28" s="1640">
        <f t="shared" si="6"/>
        <v>0</v>
      </c>
      <c r="AG28" s="1640">
        <f t="shared" si="7"/>
        <v>0</v>
      </c>
      <c r="AH28" s="1282">
        <v>0</v>
      </c>
      <c r="AI28" s="805">
        <v>0</v>
      </c>
      <c r="AJ28" s="805" t="s">
        <v>1792</v>
      </c>
      <c r="AK28" s="805"/>
      <c r="AL28" s="1928">
        <f aca="true" t="shared" si="16" ref="AL28:AL34">SUM(M28:P28)</f>
        <v>0</v>
      </c>
      <c r="AM28" s="1929">
        <f t="shared" si="1"/>
        <v>0</v>
      </c>
      <c r="AN28" s="1928">
        <v>0</v>
      </c>
      <c r="AO28" s="1929" t="s">
        <v>1090</v>
      </c>
      <c r="AP28" s="1929">
        <f aca="true" t="shared" si="17" ref="AP28:AP34">AN28/Y28</f>
        <v>0</v>
      </c>
      <c r="AQ28" s="1929">
        <v>0</v>
      </c>
      <c r="AR28" s="894"/>
      <c r="AS28" s="894"/>
      <c r="AT28" s="1924" t="s">
        <v>2445</v>
      </c>
      <c r="AU28" s="894"/>
      <c r="AV28" s="2268">
        <f aca="true" t="shared" si="18" ref="AV28:AV34">SUM(M28:R28)</f>
        <v>0</v>
      </c>
      <c r="AW28" s="2251">
        <f t="shared" si="2"/>
        <v>0</v>
      </c>
      <c r="AX28" s="2268">
        <v>0</v>
      </c>
      <c r="AY28" s="2251" t="s">
        <v>1090</v>
      </c>
      <c r="AZ28" s="2251">
        <v>0</v>
      </c>
      <c r="BA28" s="2251">
        <v>0</v>
      </c>
      <c r="BB28" s="2303">
        <v>0</v>
      </c>
      <c r="BC28" s="2268" t="s">
        <v>1090</v>
      </c>
      <c r="BD28" s="2199" t="s">
        <v>2445</v>
      </c>
      <c r="BE28" s="2199"/>
      <c r="BF28" s="2351">
        <f aca="true" t="shared" si="19" ref="BF28:BF34">SUM(M28:T28)</f>
        <v>0</v>
      </c>
      <c r="BG28" s="2352">
        <f t="shared" si="3"/>
        <v>0</v>
      </c>
      <c r="BH28" s="2351" t="s">
        <v>1090</v>
      </c>
      <c r="BI28" s="2352" t="s">
        <v>1090</v>
      </c>
      <c r="BJ28" s="2352"/>
      <c r="BK28" s="2352">
        <v>0</v>
      </c>
      <c r="BL28" s="2353"/>
      <c r="BM28" s="2351"/>
      <c r="BN28" s="2354"/>
      <c r="BO28" s="2354"/>
    </row>
    <row r="29" spans="1:67" s="842" customFormat="1" ht="58.5" customHeight="1" thickBot="1">
      <c r="A29" s="2557"/>
      <c r="B29" s="2557"/>
      <c r="C29" s="2558"/>
      <c r="D29" s="874" t="s">
        <v>1658</v>
      </c>
      <c r="E29" s="1016" t="s">
        <v>1152</v>
      </c>
      <c r="F29" s="1017">
        <v>1</v>
      </c>
      <c r="G29" s="1016" t="s">
        <v>1153</v>
      </c>
      <c r="H29" s="1005" t="s">
        <v>1134</v>
      </c>
      <c r="I29" s="1143">
        <v>0.1</v>
      </c>
      <c r="J29" s="1014" t="s">
        <v>1154</v>
      </c>
      <c r="K29" s="1003" t="s">
        <v>1155</v>
      </c>
      <c r="L29" s="937">
        <v>42185</v>
      </c>
      <c r="M29" s="932"/>
      <c r="N29" s="932"/>
      <c r="O29" s="932"/>
      <c r="P29" s="932"/>
      <c r="Q29" s="932"/>
      <c r="R29" s="932"/>
      <c r="S29" s="932"/>
      <c r="T29" s="2290"/>
      <c r="U29" s="932"/>
      <c r="V29" s="932"/>
      <c r="W29" s="932"/>
      <c r="X29" s="932">
        <v>1</v>
      </c>
      <c r="Y29" s="995">
        <f>SUM(M29:X29)</f>
        <v>1</v>
      </c>
      <c r="Z29" s="941">
        <v>0</v>
      </c>
      <c r="AA29" s="946" t="s">
        <v>1090</v>
      </c>
      <c r="AB29" s="1282">
        <f t="shared" si="15"/>
        <v>0</v>
      </c>
      <c r="AC29" s="1640">
        <f t="shared" si="12"/>
        <v>0</v>
      </c>
      <c r="AD29" s="1444">
        <f t="shared" si="5"/>
        <v>0</v>
      </c>
      <c r="AE29" s="1640" t="s">
        <v>1090</v>
      </c>
      <c r="AF29" s="1640">
        <f t="shared" si="6"/>
        <v>0</v>
      </c>
      <c r="AG29" s="1640">
        <f t="shared" si="7"/>
        <v>0</v>
      </c>
      <c r="AH29" s="1282">
        <v>0</v>
      </c>
      <c r="AI29" s="805">
        <v>0</v>
      </c>
      <c r="AJ29" s="805"/>
      <c r="AK29" s="805"/>
      <c r="AL29" s="1928">
        <f t="shared" si="16"/>
        <v>0</v>
      </c>
      <c r="AM29" s="1929">
        <f t="shared" si="1"/>
        <v>0</v>
      </c>
      <c r="AN29" s="1928">
        <v>0</v>
      </c>
      <c r="AO29" s="1929" t="s">
        <v>1090</v>
      </c>
      <c r="AP29" s="1929">
        <f t="shared" si="17"/>
        <v>0</v>
      </c>
      <c r="AQ29" s="1929">
        <v>0</v>
      </c>
      <c r="AR29" s="894"/>
      <c r="AS29" s="894"/>
      <c r="AT29" s="894"/>
      <c r="AU29" s="894"/>
      <c r="AV29" s="2268">
        <f t="shared" si="18"/>
        <v>0</v>
      </c>
      <c r="AW29" s="2251">
        <f t="shared" si="2"/>
        <v>0</v>
      </c>
      <c r="AX29" s="2268">
        <v>0</v>
      </c>
      <c r="AY29" s="2251" t="s">
        <v>1090</v>
      </c>
      <c r="AZ29" s="2251">
        <v>0</v>
      </c>
      <c r="BA29" s="2251">
        <v>0</v>
      </c>
      <c r="BB29" s="2303">
        <v>0</v>
      </c>
      <c r="BC29" s="2268" t="s">
        <v>1090</v>
      </c>
      <c r="BD29" s="2199" t="s">
        <v>2444</v>
      </c>
      <c r="BE29" s="2199"/>
      <c r="BF29" s="2351">
        <f t="shared" si="19"/>
        <v>0</v>
      </c>
      <c r="BG29" s="2352">
        <f t="shared" si="3"/>
        <v>0</v>
      </c>
      <c r="BH29" s="2351" t="s">
        <v>1090</v>
      </c>
      <c r="BI29" s="2352" t="s">
        <v>1090</v>
      </c>
      <c r="BJ29" s="2352"/>
      <c r="BK29" s="2352">
        <v>0</v>
      </c>
      <c r="BL29" s="2353"/>
      <c r="BM29" s="2351"/>
      <c r="BN29" s="2354" t="s">
        <v>3130</v>
      </c>
      <c r="BO29" s="2354"/>
    </row>
    <row r="30" spans="1:67" s="842" customFormat="1" ht="99.95" customHeight="1" thickBot="1">
      <c r="A30" s="2557"/>
      <c r="B30" s="2557"/>
      <c r="C30" s="2559" t="s">
        <v>1089</v>
      </c>
      <c r="D30" s="1144" t="s">
        <v>1157</v>
      </c>
      <c r="E30" s="911" t="s">
        <v>1158</v>
      </c>
      <c r="F30" s="914" t="s">
        <v>100</v>
      </c>
      <c r="G30" s="1145" t="s">
        <v>1159</v>
      </c>
      <c r="H30" s="889" t="s">
        <v>1120</v>
      </c>
      <c r="I30" s="1143">
        <v>0.1</v>
      </c>
      <c r="J30" s="889" t="s">
        <v>1160</v>
      </c>
      <c r="K30" s="871">
        <v>42005</v>
      </c>
      <c r="L30" s="871">
        <v>42369</v>
      </c>
      <c r="M30" s="870"/>
      <c r="N30" s="870"/>
      <c r="O30" s="870"/>
      <c r="P30" s="870"/>
      <c r="Q30" s="870"/>
      <c r="R30" s="870"/>
      <c r="S30" s="870"/>
      <c r="T30" s="870"/>
      <c r="U30" s="1146"/>
      <c r="V30" s="1146"/>
      <c r="W30" s="1146"/>
      <c r="X30" s="1147"/>
      <c r="Y30" s="1148" t="s">
        <v>100</v>
      </c>
      <c r="Z30" s="1149">
        <v>0</v>
      </c>
      <c r="AA30" s="946" t="s">
        <v>1090</v>
      </c>
      <c r="AB30" s="1282">
        <f t="shared" si="15"/>
        <v>0</v>
      </c>
      <c r="AC30" s="1640">
        <f t="shared" si="12"/>
        <v>0</v>
      </c>
      <c r="AD30" s="1444">
        <f t="shared" si="5"/>
        <v>0</v>
      </c>
      <c r="AE30" s="1640" t="s">
        <v>1090</v>
      </c>
      <c r="AF30" s="1640" t="s">
        <v>1090</v>
      </c>
      <c r="AG30" s="1640" t="str">
        <f t="shared" si="7"/>
        <v>-</v>
      </c>
      <c r="AH30" s="1282">
        <v>0</v>
      </c>
      <c r="AI30" s="805">
        <v>0</v>
      </c>
      <c r="AJ30" s="805"/>
      <c r="AK30" s="805"/>
      <c r="AL30" s="1928">
        <f t="shared" si="16"/>
        <v>0</v>
      </c>
      <c r="AM30" s="1929">
        <f t="shared" si="1"/>
        <v>0</v>
      </c>
      <c r="AN30" s="1922"/>
      <c r="AO30" s="1929" t="s">
        <v>1090</v>
      </c>
      <c r="AP30" s="1929" t="s">
        <v>1090</v>
      </c>
      <c r="AQ30" s="1929" t="str">
        <f t="shared" si="14"/>
        <v>-</v>
      </c>
      <c r="AR30" s="1079"/>
      <c r="AS30" s="1079"/>
      <c r="AT30" s="1079"/>
      <c r="AU30" s="1079"/>
      <c r="AV30" s="2268">
        <f t="shared" si="18"/>
        <v>0</v>
      </c>
      <c r="AW30" s="2251">
        <f t="shared" si="2"/>
        <v>0</v>
      </c>
      <c r="AX30" s="2268"/>
      <c r="AY30" s="2251" t="s">
        <v>1090</v>
      </c>
      <c r="AZ30" s="2251" t="s">
        <v>1090</v>
      </c>
      <c r="BA30" s="2251" t="s">
        <v>1090</v>
      </c>
      <c r="BB30" s="2303">
        <v>0</v>
      </c>
      <c r="BC30" s="2268" t="s">
        <v>1090</v>
      </c>
      <c r="BD30" s="2199"/>
      <c r="BE30" s="2199"/>
      <c r="BF30" s="2351">
        <f t="shared" si="19"/>
        <v>0</v>
      </c>
      <c r="BG30" s="2352">
        <f t="shared" si="3"/>
        <v>0</v>
      </c>
      <c r="BH30" s="2351" t="s">
        <v>1090</v>
      </c>
      <c r="BI30" s="2352" t="s">
        <v>1090</v>
      </c>
      <c r="BJ30" s="2352"/>
      <c r="BK30" s="2352" t="s">
        <v>1090</v>
      </c>
      <c r="BL30" s="2353"/>
      <c r="BM30" s="2351"/>
      <c r="BN30" s="2354"/>
      <c r="BO30" s="2354"/>
    </row>
    <row r="31" spans="1:67" s="842" customFormat="1" ht="75.75" thickBot="1">
      <c r="A31" s="2557"/>
      <c r="B31" s="2557"/>
      <c r="C31" s="2559"/>
      <c r="D31" s="1150" t="s">
        <v>1659</v>
      </c>
      <c r="E31" s="911" t="s">
        <v>1660</v>
      </c>
      <c r="F31" s="914" t="s">
        <v>149</v>
      </c>
      <c r="G31" s="1145" t="s">
        <v>1661</v>
      </c>
      <c r="H31" s="889" t="s">
        <v>1120</v>
      </c>
      <c r="I31" s="1143">
        <v>0.1</v>
      </c>
      <c r="J31" s="889" t="s">
        <v>1662</v>
      </c>
      <c r="K31" s="871">
        <v>42005</v>
      </c>
      <c r="L31" s="871">
        <v>42369</v>
      </c>
      <c r="M31" s="870"/>
      <c r="N31" s="870"/>
      <c r="O31" s="870"/>
      <c r="P31" s="870"/>
      <c r="Q31" s="870"/>
      <c r="R31" s="870"/>
      <c r="S31" s="870"/>
      <c r="T31" s="870"/>
      <c r="U31" s="1146"/>
      <c r="V31" s="1146"/>
      <c r="W31" s="1146"/>
      <c r="X31" s="1147"/>
      <c r="Y31" s="1148" t="s">
        <v>100</v>
      </c>
      <c r="Z31" s="1149"/>
      <c r="AA31" s="946"/>
      <c r="AB31" s="1282">
        <f t="shared" si="15"/>
        <v>0</v>
      </c>
      <c r="AC31" s="1640">
        <f aca="true" t="shared" si="20" ref="AC31:AC36">IF(AB31=0,0%,100%)</f>
        <v>0</v>
      </c>
      <c r="AD31" s="1444">
        <f t="shared" si="5"/>
        <v>0</v>
      </c>
      <c r="AE31" s="1640" t="s">
        <v>1090</v>
      </c>
      <c r="AF31" s="1640" t="s">
        <v>1090</v>
      </c>
      <c r="AG31" s="1640" t="str">
        <f t="shared" si="7"/>
        <v>-</v>
      </c>
      <c r="AH31" s="1282">
        <v>0</v>
      </c>
      <c r="AI31" s="805">
        <v>0</v>
      </c>
      <c r="AJ31" s="805"/>
      <c r="AK31" s="805"/>
      <c r="AL31" s="1928">
        <f t="shared" si="16"/>
        <v>0</v>
      </c>
      <c r="AM31" s="1929">
        <f t="shared" si="1"/>
        <v>0</v>
      </c>
      <c r="AN31" s="1922">
        <v>0</v>
      </c>
      <c r="AO31" s="1929" t="s">
        <v>1090</v>
      </c>
      <c r="AP31" s="1929" t="s">
        <v>1090</v>
      </c>
      <c r="AQ31" s="1929" t="str">
        <f t="shared" si="14"/>
        <v>-</v>
      </c>
      <c r="AR31" s="1079"/>
      <c r="AS31" s="1079"/>
      <c r="AT31" s="1923" t="s">
        <v>2446</v>
      </c>
      <c r="AU31" s="1079"/>
      <c r="AV31" s="2268">
        <f t="shared" si="18"/>
        <v>0</v>
      </c>
      <c r="AW31" s="2251">
        <f t="shared" si="2"/>
        <v>0</v>
      </c>
      <c r="AX31" s="2268">
        <v>0</v>
      </c>
      <c r="AY31" s="2251" t="s">
        <v>1090</v>
      </c>
      <c r="AZ31" s="2251" t="s">
        <v>1090</v>
      </c>
      <c r="BA31" s="2251" t="s">
        <v>1090</v>
      </c>
      <c r="BB31" s="2303">
        <v>0</v>
      </c>
      <c r="BC31" s="2268" t="s">
        <v>1090</v>
      </c>
      <c r="BD31" s="2199" t="s">
        <v>2446</v>
      </c>
      <c r="BE31" s="2199"/>
      <c r="BF31" s="2351">
        <f t="shared" si="19"/>
        <v>0</v>
      </c>
      <c r="BG31" s="2352">
        <f t="shared" si="3"/>
        <v>0</v>
      </c>
      <c r="BH31" s="2351" t="s">
        <v>1090</v>
      </c>
      <c r="BI31" s="2352" t="s">
        <v>1090</v>
      </c>
      <c r="BJ31" s="2352"/>
      <c r="BK31" s="2352" t="s">
        <v>1090</v>
      </c>
      <c r="BL31" s="2353"/>
      <c r="BM31" s="2351"/>
      <c r="BN31" s="2354"/>
      <c r="BO31" s="2354"/>
    </row>
    <row r="32" spans="1:67" s="842" customFormat="1" ht="128.25" customHeight="1" thickBot="1">
      <c r="A32" s="2557"/>
      <c r="B32" s="2557"/>
      <c r="C32" s="2559" t="s">
        <v>1178</v>
      </c>
      <c r="D32" s="1151" t="s">
        <v>1663</v>
      </c>
      <c r="E32" s="1062" t="s">
        <v>72</v>
      </c>
      <c r="F32" s="1063">
        <v>1</v>
      </c>
      <c r="G32" s="1062" t="s">
        <v>174</v>
      </c>
      <c r="H32" s="997" t="s">
        <v>1517</v>
      </c>
      <c r="I32" s="1143">
        <v>0.1</v>
      </c>
      <c r="J32" s="1060" t="s">
        <v>1518</v>
      </c>
      <c r="K32" s="910">
        <v>42058</v>
      </c>
      <c r="L32" s="910">
        <v>42369</v>
      </c>
      <c r="M32" s="870"/>
      <c r="N32" s="870"/>
      <c r="O32" s="870"/>
      <c r="P32" s="870"/>
      <c r="Q32" s="870"/>
      <c r="R32" s="870"/>
      <c r="S32" s="870"/>
      <c r="T32" s="870"/>
      <c r="U32" s="1146"/>
      <c r="V32" s="1146"/>
      <c r="W32" s="1146"/>
      <c r="X32" s="1147">
        <v>1</v>
      </c>
      <c r="Y32" s="970">
        <f>SUM(M32:X32)</f>
        <v>1</v>
      </c>
      <c r="Z32" s="1152">
        <v>0</v>
      </c>
      <c r="AA32" s="1153" t="s">
        <v>1090</v>
      </c>
      <c r="AB32" s="1282">
        <f t="shared" si="15"/>
        <v>0</v>
      </c>
      <c r="AC32" s="1640">
        <f t="shared" si="20"/>
        <v>0</v>
      </c>
      <c r="AD32" s="1444">
        <f t="shared" si="5"/>
        <v>0</v>
      </c>
      <c r="AE32" s="1640" t="s">
        <v>1090</v>
      </c>
      <c r="AF32" s="1640">
        <f t="shared" si="6"/>
        <v>0</v>
      </c>
      <c r="AG32" s="1640">
        <f t="shared" si="7"/>
        <v>0</v>
      </c>
      <c r="AH32" s="1282">
        <v>0</v>
      </c>
      <c r="AI32" s="805">
        <v>0</v>
      </c>
      <c r="AJ32" s="805"/>
      <c r="AK32" s="805"/>
      <c r="AL32" s="1928">
        <f t="shared" si="16"/>
        <v>0</v>
      </c>
      <c r="AM32" s="1929">
        <f t="shared" si="1"/>
        <v>0</v>
      </c>
      <c r="AN32" s="1928">
        <v>0</v>
      </c>
      <c r="AO32" s="1929" t="s">
        <v>1090</v>
      </c>
      <c r="AP32" s="1929">
        <f t="shared" si="17"/>
        <v>0</v>
      </c>
      <c r="AQ32" s="1929">
        <v>0</v>
      </c>
      <c r="AR32" s="894"/>
      <c r="AS32" s="894"/>
      <c r="AT32" s="894"/>
      <c r="AU32" s="894"/>
      <c r="AV32" s="2268">
        <f t="shared" si="18"/>
        <v>0</v>
      </c>
      <c r="AW32" s="2251">
        <f t="shared" si="2"/>
        <v>0</v>
      </c>
      <c r="AX32" s="2268">
        <v>0</v>
      </c>
      <c r="AY32" s="2251" t="s">
        <v>1090</v>
      </c>
      <c r="AZ32" s="2251">
        <v>0</v>
      </c>
      <c r="BA32" s="2251">
        <v>0</v>
      </c>
      <c r="BB32" s="2303">
        <v>0</v>
      </c>
      <c r="BC32" s="2268" t="s">
        <v>1090</v>
      </c>
      <c r="BD32" s="2199"/>
      <c r="BE32" s="2199"/>
      <c r="BF32" s="2351">
        <f t="shared" si="19"/>
        <v>0</v>
      </c>
      <c r="BG32" s="2352">
        <f t="shared" si="3"/>
        <v>0</v>
      </c>
      <c r="BH32" s="2351" t="s">
        <v>1090</v>
      </c>
      <c r="BI32" s="2352" t="s">
        <v>1090</v>
      </c>
      <c r="BJ32" s="2352"/>
      <c r="BK32" s="2352">
        <v>0</v>
      </c>
      <c r="BL32" s="2353"/>
      <c r="BM32" s="2351"/>
      <c r="BN32" s="2354"/>
      <c r="BO32" s="2354"/>
    </row>
    <row r="33" spans="1:67" s="842" customFormat="1" ht="51.75" thickBot="1">
      <c r="A33" s="2557"/>
      <c r="B33" s="2557"/>
      <c r="C33" s="2560"/>
      <c r="D33" s="2561" t="s">
        <v>1519</v>
      </c>
      <c r="E33" s="1062" t="s">
        <v>1066</v>
      </c>
      <c r="F33" s="1063">
        <v>1</v>
      </c>
      <c r="G33" s="1062" t="s">
        <v>1520</v>
      </c>
      <c r="H33" s="997" t="s">
        <v>1521</v>
      </c>
      <c r="I33" s="1143">
        <v>0.1</v>
      </c>
      <c r="J33" s="1060" t="s">
        <v>1522</v>
      </c>
      <c r="K33" s="910">
        <v>42186</v>
      </c>
      <c r="L33" s="910">
        <v>42369</v>
      </c>
      <c r="M33" s="870"/>
      <c r="N33" s="870"/>
      <c r="O33" s="870"/>
      <c r="P33" s="870"/>
      <c r="Q33" s="870"/>
      <c r="R33" s="870"/>
      <c r="S33" s="870"/>
      <c r="T33" s="870"/>
      <c r="U33" s="1146"/>
      <c r="V33" s="1146"/>
      <c r="W33" s="1146"/>
      <c r="X33" s="2510">
        <v>1</v>
      </c>
      <c r="Y33" s="970">
        <f>SUM(M33:X33)</f>
        <v>1</v>
      </c>
      <c r="Z33" s="1152">
        <v>0</v>
      </c>
      <c r="AA33" s="1153"/>
      <c r="AB33" s="1282">
        <f t="shared" si="15"/>
        <v>0</v>
      </c>
      <c r="AC33" s="1640">
        <f t="shared" si="20"/>
        <v>0</v>
      </c>
      <c r="AD33" s="1444">
        <f t="shared" si="5"/>
        <v>0</v>
      </c>
      <c r="AE33" s="1640" t="s">
        <v>1090</v>
      </c>
      <c r="AF33" s="1640">
        <f>AD33/Y33</f>
        <v>0</v>
      </c>
      <c r="AG33" s="1640">
        <f t="shared" si="7"/>
        <v>0</v>
      </c>
      <c r="AH33" s="1282">
        <v>0</v>
      </c>
      <c r="AI33" s="805">
        <v>0</v>
      </c>
      <c r="AJ33" s="805"/>
      <c r="AK33" s="805"/>
      <c r="AL33" s="1928">
        <f t="shared" si="16"/>
        <v>0</v>
      </c>
      <c r="AM33" s="1929">
        <f t="shared" si="1"/>
        <v>0</v>
      </c>
      <c r="AN33" s="1928">
        <v>0</v>
      </c>
      <c r="AO33" s="1929" t="s">
        <v>1090</v>
      </c>
      <c r="AP33" s="1929">
        <f t="shared" si="17"/>
        <v>0</v>
      </c>
      <c r="AQ33" s="1929">
        <v>0</v>
      </c>
      <c r="AR33" s="894"/>
      <c r="AS33" s="894"/>
      <c r="AT33" s="894"/>
      <c r="AU33" s="894"/>
      <c r="AV33" s="2268">
        <f t="shared" si="18"/>
        <v>0</v>
      </c>
      <c r="AW33" s="2251">
        <f t="shared" si="2"/>
        <v>0</v>
      </c>
      <c r="AX33" s="2268">
        <v>0</v>
      </c>
      <c r="AY33" s="2251" t="s">
        <v>1090</v>
      </c>
      <c r="AZ33" s="2251">
        <v>0</v>
      </c>
      <c r="BA33" s="2251">
        <v>0</v>
      </c>
      <c r="BB33" s="2303">
        <v>0</v>
      </c>
      <c r="BC33" s="2268" t="s">
        <v>1090</v>
      </c>
      <c r="BD33" s="2199"/>
      <c r="BE33" s="2199"/>
      <c r="BF33" s="2351">
        <f t="shared" si="19"/>
        <v>0</v>
      </c>
      <c r="BG33" s="2352">
        <f t="shared" si="3"/>
        <v>0</v>
      </c>
      <c r="BH33" s="2351" t="s">
        <v>1090</v>
      </c>
      <c r="BI33" s="2352" t="s">
        <v>1090</v>
      </c>
      <c r="BJ33" s="2352"/>
      <c r="BK33" s="2352">
        <v>0</v>
      </c>
      <c r="BL33" s="2353"/>
      <c r="BM33" s="2351"/>
      <c r="BN33" s="2354"/>
      <c r="BO33" s="2354"/>
    </row>
    <row r="34" spans="1:67" s="842" customFormat="1" ht="63.75" customHeight="1" thickBot="1">
      <c r="A34" s="2557"/>
      <c r="B34" s="2557"/>
      <c r="C34" s="2560"/>
      <c r="D34" s="2562"/>
      <c r="E34" s="1062" t="s">
        <v>136</v>
      </c>
      <c r="F34" s="1063">
        <v>1</v>
      </c>
      <c r="G34" s="1062" t="s">
        <v>1523</v>
      </c>
      <c r="H34" s="997" t="s">
        <v>1521</v>
      </c>
      <c r="I34" s="1143">
        <v>0.1</v>
      </c>
      <c r="J34" s="1060" t="s">
        <v>1524</v>
      </c>
      <c r="K34" s="910">
        <v>42186</v>
      </c>
      <c r="L34" s="910">
        <v>42369</v>
      </c>
      <c r="M34" s="870"/>
      <c r="N34" s="870"/>
      <c r="O34" s="870"/>
      <c r="P34" s="870"/>
      <c r="Q34" s="870"/>
      <c r="R34" s="870"/>
      <c r="S34" s="870"/>
      <c r="T34" s="870"/>
      <c r="U34" s="1146"/>
      <c r="V34" s="1146"/>
      <c r="W34" s="1146"/>
      <c r="X34" s="1147">
        <v>1</v>
      </c>
      <c r="Y34" s="970">
        <f>SUM(M34:X34)</f>
        <v>1</v>
      </c>
      <c r="Z34" s="1152">
        <v>0</v>
      </c>
      <c r="AA34" s="1153"/>
      <c r="AB34" s="1282">
        <f t="shared" si="15"/>
        <v>0</v>
      </c>
      <c r="AC34" s="1640">
        <f t="shared" si="20"/>
        <v>0</v>
      </c>
      <c r="AD34" s="1444">
        <f t="shared" si="5"/>
        <v>0</v>
      </c>
      <c r="AE34" s="1640" t="s">
        <v>1090</v>
      </c>
      <c r="AF34" s="1640">
        <f t="shared" si="6"/>
        <v>0</v>
      </c>
      <c r="AG34" s="1640">
        <f t="shared" si="7"/>
        <v>0</v>
      </c>
      <c r="AH34" s="1282">
        <v>0</v>
      </c>
      <c r="AI34" s="805">
        <v>0</v>
      </c>
      <c r="AJ34" s="805"/>
      <c r="AK34" s="805"/>
      <c r="AL34" s="1928">
        <f t="shared" si="16"/>
        <v>0</v>
      </c>
      <c r="AM34" s="1929">
        <f t="shared" si="1"/>
        <v>0</v>
      </c>
      <c r="AN34" s="1928">
        <v>0</v>
      </c>
      <c r="AO34" s="1929" t="s">
        <v>1090</v>
      </c>
      <c r="AP34" s="1929">
        <f t="shared" si="17"/>
        <v>0</v>
      </c>
      <c r="AQ34" s="1929">
        <v>0</v>
      </c>
      <c r="AR34" s="894"/>
      <c r="AS34" s="894"/>
      <c r="AT34" s="894"/>
      <c r="AU34" s="894"/>
      <c r="AV34" s="2268">
        <f t="shared" si="18"/>
        <v>0</v>
      </c>
      <c r="AW34" s="2251">
        <f t="shared" si="2"/>
        <v>0</v>
      </c>
      <c r="AX34" s="2268">
        <v>0</v>
      </c>
      <c r="AY34" s="2251" t="s">
        <v>1090</v>
      </c>
      <c r="AZ34" s="2251">
        <v>0</v>
      </c>
      <c r="BA34" s="2251">
        <v>0</v>
      </c>
      <c r="BB34" s="2303">
        <v>0</v>
      </c>
      <c r="BC34" s="2268" t="s">
        <v>1090</v>
      </c>
      <c r="BD34" s="2199"/>
      <c r="BE34" s="2199"/>
      <c r="BF34" s="2351">
        <f t="shared" si="19"/>
        <v>0</v>
      </c>
      <c r="BG34" s="2352">
        <f t="shared" si="3"/>
        <v>0</v>
      </c>
      <c r="BH34" s="2351" t="s">
        <v>1090</v>
      </c>
      <c r="BI34" s="2352" t="s">
        <v>1090</v>
      </c>
      <c r="BJ34" s="2352"/>
      <c r="BK34" s="2352">
        <v>0</v>
      </c>
      <c r="BL34" s="2353"/>
      <c r="BM34" s="2351"/>
      <c r="BN34" s="2354"/>
      <c r="BO34" s="2354"/>
    </row>
    <row r="35" spans="1:67" s="842" customFormat="1" ht="20.1" customHeight="1" thickBot="1">
      <c r="A35" s="2556" t="s">
        <v>130</v>
      </c>
      <c r="B35" s="2556"/>
      <c r="C35" s="2556"/>
      <c r="D35" s="2556"/>
      <c r="E35" s="848"/>
      <c r="F35" s="848"/>
      <c r="G35" s="848"/>
      <c r="H35" s="848"/>
      <c r="I35" s="1142">
        <f>SUM(I27:I34)</f>
        <v>0.7999999999999999</v>
      </c>
      <c r="J35" s="848"/>
      <c r="K35" s="848"/>
      <c r="L35" s="848"/>
      <c r="M35" s="848"/>
      <c r="N35" s="848"/>
      <c r="O35" s="848"/>
      <c r="P35" s="848"/>
      <c r="Q35" s="848"/>
      <c r="R35" s="848"/>
      <c r="S35" s="848"/>
      <c r="T35" s="848"/>
      <c r="U35" s="848"/>
      <c r="V35" s="848"/>
      <c r="W35" s="848"/>
      <c r="X35" s="848"/>
      <c r="Y35" s="848"/>
      <c r="Z35" s="1013">
        <f>SUM(Z27:Z32)</f>
        <v>63000000</v>
      </c>
      <c r="AA35" s="846"/>
      <c r="AB35" s="1467"/>
      <c r="AC35" s="1468">
        <f>AVERAGEIF(AC27:AC34,"&gt;0")</f>
        <v>1</v>
      </c>
      <c r="AD35" s="1600">
        <f t="shared" si="5"/>
        <v>0</v>
      </c>
      <c r="AE35" s="1468">
        <f>AVERAGE(AE27:AE34)</f>
        <v>0.7692307692307693</v>
      </c>
      <c r="AF35" s="1468"/>
      <c r="AG35" s="1468">
        <f>AVERAGE(AG27:AG34)</f>
        <v>0.09803921568627451</v>
      </c>
      <c r="AH35" s="1469"/>
      <c r="AI35" s="1470"/>
      <c r="AJ35" s="1470"/>
      <c r="AK35" s="1470"/>
      <c r="AL35" s="1935"/>
      <c r="AM35" s="1936">
        <f>AVERAGEIF(AM27:AM34,"&gt;0")</f>
        <v>1</v>
      </c>
      <c r="AN35" s="1935"/>
      <c r="AO35" s="1937">
        <f>AVERAGE(AO27:AO34)</f>
        <v>1</v>
      </c>
      <c r="AP35" s="1935"/>
      <c r="AQ35" s="1937">
        <f>AVERAGE(AQ27:AQ34)</f>
        <v>0.16666666666666666</v>
      </c>
      <c r="AR35" s="1935"/>
      <c r="AS35" s="1935"/>
      <c r="AT35" s="844"/>
      <c r="AU35" s="844"/>
      <c r="AV35" s="844"/>
      <c r="AW35" s="2220">
        <v>1</v>
      </c>
      <c r="AX35" s="844"/>
      <c r="AY35" s="2292">
        <f>AVERAGE(AY27:AY34)</f>
        <v>1</v>
      </c>
      <c r="AZ35" s="844"/>
      <c r="BA35" s="2297">
        <f>AVERAGE(BA27:BA34)</f>
        <v>0.16666666666666666</v>
      </c>
      <c r="BB35" s="844"/>
      <c r="BC35" s="844"/>
      <c r="BD35" s="844"/>
      <c r="BE35" s="844"/>
      <c r="BF35" s="844"/>
      <c r="BG35" s="2220">
        <v>1</v>
      </c>
      <c r="BH35" s="844"/>
      <c r="BI35" s="2292">
        <f>AVERAGE(BI27:BI34)</f>
        <v>1</v>
      </c>
      <c r="BJ35" s="844"/>
      <c r="BK35" s="2297">
        <f>AVERAGE(BK27:BK34)</f>
        <v>0.16666666666666666</v>
      </c>
      <c r="BL35" s="844"/>
      <c r="BM35" s="844"/>
      <c r="BN35" s="844"/>
      <c r="BO35" s="844"/>
    </row>
    <row r="36" spans="1:67" s="1158" customFormat="1" ht="77.25" thickBot="1">
      <c r="A36" s="1154">
        <v>3</v>
      </c>
      <c r="B36" s="1154" t="s">
        <v>1179</v>
      </c>
      <c r="C36" s="1051" t="s">
        <v>1180</v>
      </c>
      <c r="D36" s="1155" t="s">
        <v>1664</v>
      </c>
      <c r="E36" s="1062" t="s">
        <v>62</v>
      </c>
      <c r="F36" s="1063">
        <v>1</v>
      </c>
      <c r="G36" s="1062" t="s">
        <v>1665</v>
      </c>
      <c r="H36" s="997" t="s">
        <v>1120</v>
      </c>
      <c r="I36" s="1156">
        <v>1</v>
      </c>
      <c r="J36" s="1060" t="s">
        <v>1666</v>
      </c>
      <c r="K36" s="910" t="s">
        <v>1667</v>
      </c>
      <c r="L36" s="937">
        <v>42369</v>
      </c>
      <c r="M36" s="870"/>
      <c r="N36" s="870"/>
      <c r="O36" s="870"/>
      <c r="P36" s="870"/>
      <c r="Q36" s="870"/>
      <c r="R36" s="870"/>
      <c r="S36" s="870"/>
      <c r="T36" s="870"/>
      <c r="U36" s="1146"/>
      <c r="V36" s="1146"/>
      <c r="W36" s="1146"/>
      <c r="X36" s="1147">
        <v>1</v>
      </c>
      <c r="Y36" s="1157">
        <v>1</v>
      </c>
      <c r="Z36" s="969">
        <v>883570680</v>
      </c>
      <c r="AA36" s="1139" t="s">
        <v>1112</v>
      </c>
      <c r="AB36" s="1282">
        <f t="shared" si="15"/>
        <v>0</v>
      </c>
      <c r="AC36" s="1640">
        <f t="shared" si="20"/>
        <v>0</v>
      </c>
      <c r="AD36" s="1444">
        <f>SUM(M36:N36)</f>
        <v>0</v>
      </c>
      <c r="AE36" s="1640" t="s">
        <v>1090</v>
      </c>
      <c r="AF36" s="1640">
        <f t="shared" si="6"/>
        <v>0</v>
      </c>
      <c r="AG36" s="1640">
        <f t="shared" si="7"/>
        <v>0</v>
      </c>
      <c r="AH36" s="1282">
        <v>0</v>
      </c>
      <c r="AI36" s="805">
        <v>0</v>
      </c>
      <c r="AJ36" s="805"/>
      <c r="AK36" s="805"/>
      <c r="AL36" s="1932">
        <f>SUM(M36:P36)</f>
        <v>0</v>
      </c>
      <c r="AM36" s="1933">
        <f t="shared" si="1"/>
        <v>0</v>
      </c>
      <c r="AN36" s="1932">
        <v>0</v>
      </c>
      <c r="AO36" s="1933" t="s">
        <v>1090</v>
      </c>
      <c r="AP36" s="1933">
        <f>AN36/Y36</f>
        <v>0</v>
      </c>
      <c r="AQ36" s="1933">
        <v>0</v>
      </c>
      <c r="AR36" s="1915"/>
      <c r="AS36" s="1915"/>
      <c r="AT36" s="1915"/>
      <c r="AU36" s="1915"/>
      <c r="AV36" s="2269">
        <f>SUM(M36:R36)</f>
        <v>0</v>
      </c>
      <c r="AW36" s="2272">
        <f t="shared" si="2"/>
        <v>0</v>
      </c>
      <c r="AX36" s="1978">
        <v>0</v>
      </c>
      <c r="AY36" s="2287" t="s">
        <v>1090</v>
      </c>
      <c r="AZ36" s="2287">
        <v>0</v>
      </c>
      <c r="BA36" s="2287">
        <v>0</v>
      </c>
      <c r="BB36" s="2303">
        <v>0</v>
      </c>
      <c r="BC36" s="2269" t="s">
        <v>1090</v>
      </c>
      <c r="BD36" s="2278"/>
      <c r="BE36" s="2278"/>
      <c r="BF36" s="2355">
        <f>SUM(M36:T36)</f>
        <v>0</v>
      </c>
      <c r="BG36" s="2356">
        <f t="shared" si="3"/>
        <v>0</v>
      </c>
      <c r="BH36" s="2357" t="s">
        <v>1090</v>
      </c>
      <c r="BI36" s="2358" t="s">
        <v>1090</v>
      </c>
      <c r="BJ36" s="2358"/>
      <c r="BK36" s="2358">
        <v>0</v>
      </c>
      <c r="BL36" s="2353"/>
      <c r="BM36" s="2355"/>
      <c r="BN36" s="2359"/>
      <c r="BO36" s="2359"/>
    </row>
    <row r="37" spans="1:67" s="842" customFormat="1" ht="20.1" customHeight="1" thickBot="1">
      <c r="A37" s="2556" t="s">
        <v>130</v>
      </c>
      <c r="B37" s="2556"/>
      <c r="C37" s="2556"/>
      <c r="D37" s="2556"/>
      <c r="E37" s="848"/>
      <c r="F37" s="848"/>
      <c r="G37" s="848"/>
      <c r="H37" s="848"/>
      <c r="I37" s="1142">
        <f>SUM(I36)</f>
        <v>1</v>
      </c>
      <c r="J37" s="848"/>
      <c r="K37" s="848"/>
      <c r="L37" s="848"/>
      <c r="M37" s="848"/>
      <c r="N37" s="848"/>
      <c r="O37" s="848"/>
      <c r="P37" s="848"/>
      <c r="Q37" s="848"/>
      <c r="R37" s="848"/>
      <c r="S37" s="848"/>
      <c r="T37" s="848"/>
      <c r="U37" s="848"/>
      <c r="V37" s="848"/>
      <c r="W37" s="848"/>
      <c r="X37" s="848"/>
      <c r="Y37" s="848"/>
      <c r="Z37" s="1013" t="e">
        <f>SUM(#REF!)</f>
        <v>#REF!</v>
      </c>
      <c r="AA37" s="846"/>
      <c r="AB37" s="1465"/>
      <c r="AC37" s="1471" t="s">
        <v>1090</v>
      </c>
      <c r="AD37" s="1601"/>
      <c r="AE37" s="1464" t="s">
        <v>1090</v>
      </c>
      <c r="AF37" s="1464"/>
      <c r="AG37" s="1464">
        <f>AVERAGE(AG36)</f>
        <v>0</v>
      </c>
      <c r="AH37" s="1463"/>
      <c r="AI37" s="1466"/>
      <c r="AJ37" s="1466"/>
      <c r="AK37" s="1466"/>
      <c r="AL37" s="1935"/>
      <c r="AM37" s="1936">
        <f>AVERAGEIF(AM29:AM36,"&gt;0")</f>
        <v>1</v>
      </c>
      <c r="AN37" s="1935"/>
      <c r="AO37" s="1937" t="s">
        <v>1090</v>
      </c>
      <c r="AP37" s="1935"/>
      <c r="AQ37" s="1937">
        <f>AVERAGE(AQ36)</f>
        <v>0</v>
      </c>
      <c r="AR37" s="1935"/>
      <c r="AS37" s="1935"/>
      <c r="AT37" s="844"/>
      <c r="AU37" s="844"/>
      <c r="AV37" s="844"/>
      <c r="AW37" s="2274">
        <v>1</v>
      </c>
      <c r="AX37" s="844"/>
      <c r="AY37" s="844" t="s">
        <v>1090</v>
      </c>
      <c r="AZ37" s="844"/>
      <c r="BA37" s="2296">
        <f>AVERAGE(BA36)</f>
        <v>0</v>
      </c>
      <c r="BB37" s="844"/>
      <c r="BC37" s="844"/>
      <c r="BD37" s="844"/>
      <c r="BE37" s="844"/>
      <c r="BF37" s="844"/>
      <c r="BG37" s="2274">
        <v>1</v>
      </c>
      <c r="BH37" s="844"/>
      <c r="BI37" s="844" t="s">
        <v>1090</v>
      </c>
      <c r="BJ37" s="844"/>
      <c r="BK37" s="2296">
        <v>0</v>
      </c>
      <c r="BL37" s="844"/>
      <c r="BM37" s="844"/>
      <c r="BN37" s="844"/>
      <c r="BO37" s="844"/>
    </row>
    <row r="38" spans="1:67" s="842" customFormat="1" ht="20.1" customHeight="1" thickBot="1">
      <c r="A38" s="2563" t="s">
        <v>290</v>
      </c>
      <c r="B38" s="2563"/>
      <c r="C38" s="2563"/>
      <c r="D38" s="2563"/>
      <c r="E38" s="1090"/>
      <c r="F38" s="1091"/>
      <c r="G38" s="1091"/>
      <c r="H38" s="1091"/>
      <c r="I38" s="1091"/>
      <c r="J38" s="1091"/>
      <c r="K38" s="1091"/>
      <c r="L38" s="1091"/>
      <c r="M38" s="1091"/>
      <c r="N38" s="1091"/>
      <c r="O38" s="1091"/>
      <c r="P38" s="1091"/>
      <c r="Q38" s="1091"/>
      <c r="R38" s="1091"/>
      <c r="S38" s="1091"/>
      <c r="T38" s="1091"/>
      <c r="U38" s="1091"/>
      <c r="V38" s="1091"/>
      <c r="W38" s="1091"/>
      <c r="X38" s="1091"/>
      <c r="Y38" s="1091"/>
      <c r="Z38" s="1092" t="e">
        <f>SUM(Z37,Z35,Z26)</f>
        <v>#REF!</v>
      </c>
      <c r="AA38" s="1093"/>
      <c r="AB38" s="1472"/>
      <c r="AC38" s="1473">
        <f>AVERAGE(AC37,AC35,AC26)</f>
        <v>1</v>
      </c>
      <c r="AD38" s="1602"/>
      <c r="AE38" s="1474">
        <f>AVERAGE(AE37,AE35,AE26)</f>
        <v>0.7692307692307693</v>
      </c>
      <c r="AF38" s="1474"/>
      <c r="AG38" s="1474">
        <f>AVERAGE(AG37,AG35,AG26)</f>
        <v>0.032679738562091505</v>
      </c>
      <c r="AH38" s="1475"/>
      <c r="AI38" s="1476"/>
      <c r="AJ38" s="1476"/>
      <c r="AK38" s="1476"/>
      <c r="AL38" s="1476"/>
      <c r="AM38" s="1941">
        <f>AVERAGE(AM37,AM35,AM26)</f>
        <v>1</v>
      </c>
      <c r="AN38" s="1476"/>
      <c r="AO38" s="1941">
        <f>AVERAGE(AO37,AO35,AO26)</f>
        <v>1</v>
      </c>
      <c r="AP38" s="1476"/>
      <c r="AQ38" s="1941">
        <f>AVERAGE(AQ37,AQ35,AQ26)</f>
        <v>0.05555555555555555</v>
      </c>
      <c r="AR38" s="1476"/>
      <c r="AS38" s="843"/>
      <c r="AT38" s="843"/>
      <c r="AU38" s="843"/>
      <c r="AV38" s="843"/>
      <c r="AW38" s="2275">
        <v>1</v>
      </c>
      <c r="AX38" s="843"/>
      <c r="AY38" s="2261">
        <f>AVERAGE(AY37,AY35,AY26)</f>
        <v>1</v>
      </c>
      <c r="AZ38" s="843"/>
      <c r="BA38" s="2262">
        <f>AVERAGE(BA37,BA35,BA26)</f>
        <v>0.13888888888888887</v>
      </c>
      <c r="BB38" s="843"/>
      <c r="BC38" s="843"/>
      <c r="BD38" s="843"/>
      <c r="BE38" s="843"/>
      <c r="BF38" s="843"/>
      <c r="BG38" s="2275">
        <v>1</v>
      </c>
      <c r="BH38" s="843"/>
      <c r="BI38" s="2261">
        <f>AVERAGE(BI37,BI35,BI26)</f>
        <v>1</v>
      </c>
      <c r="BJ38" s="843"/>
      <c r="BK38" s="2262">
        <f>AVERAGE(BK37,BK35,BK26)</f>
        <v>0.13888888888888887</v>
      </c>
      <c r="BL38" s="843"/>
      <c r="BM38" s="843"/>
      <c r="BN38" s="843"/>
      <c r="BO38" s="843"/>
    </row>
    <row r="39" spans="1:64" s="896" customFormat="1" ht="9.95" customHeight="1" thickBot="1">
      <c r="A39" s="2564"/>
      <c r="B39" s="2564"/>
      <c r="C39" s="2564"/>
      <c r="D39" s="2564"/>
      <c r="E39" s="2564"/>
      <c r="F39" s="2564"/>
      <c r="G39" s="2564"/>
      <c r="H39" s="2564"/>
      <c r="I39" s="2564"/>
      <c r="J39" s="2564"/>
      <c r="K39" s="2564"/>
      <c r="L39" s="2564"/>
      <c r="M39" s="2564"/>
      <c r="N39" s="2564"/>
      <c r="O39" s="2564"/>
      <c r="P39" s="2564"/>
      <c r="Q39" s="2564"/>
      <c r="R39" s="2564"/>
      <c r="S39" s="2564"/>
      <c r="T39" s="2564"/>
      <c r="U39" s="2564"/>
      <c r="V39" s="2564"/>
      <c r="W39" s="2564"/>
      <c r="X39" s="2564"/>
      <c r="Y39" s="2564"/>
      <c r="Z39" s="2564"/>
      <c r="AA39" s="2564"/>
      <c r="AB39" s="1287"/>
      <c r="AC39" s="1303"/>
      <c r="AD39" s="1448"/>
      <c r="AE39" s="900"/>
      <c r="AF39" s="900"/>
      <c r="AG39" s="900"/>
      <c r="AH39" s="1287"/>
      <c r="AI39" s="900"/>
      <c r="AJ39" s="900"/>
      <c r="AK39" s="900"/>
      <c r="AL39" s="899"/>
      <c r="AM39" s="899"/>
      <c r="AN39" s="899"/>
      <c r="AO39" s="899"/>
      <c r="AP39" s="899"/>
      <c r="AQ39" s="899"/>
      <c r="AR39" s="899"/>
      <c r="AS39" s="899"/>
      <c r="AT39" s="899"/>
      <c r="AU39" s="899"/>
      <c r="AV39" s="899"/>
      <c r="AW39" s="899"/>
      <c r="AX39" s="899"/>
      <c r="AY39" s="899"/>
      <c r="AZ39" s="899"/>
      <c r="BA39" s="899"/>
      <c r="BB39" s="899"/>
      <c r="BF39" s="899"/>
      <c r="BG39" s="899"/>
      <c r="BH39" s="899"/>
      <c r="BI39" s="899"/>
      <c r="BJ39" s="899"/>
      <c r="BK39" s="899"/>
      <c r="BL39" s="899"/>
    </row>
    <row r="40" spans="1:67" s="898" customFormat="1" ht="21" customHeight="1" thickBot="1">
      <c r="A40" s="2549" t="s">
        <v>9</v>
      </c>
      <c r="B40" s="2549"/>
      <c r="C40" s="2549"/>
      <c r="D40" s="2549"/>
      <c r="E40" s="2550" t="s">
        <v>292</v>
      </c>
      <c r="F40" s="2550"/>
      <c r="G40" s="2550"/>
      <c r="H40" s="2550"/>
      <c r="I40" s="2550"/>
      <c r="J40" s="2550"/>
      <c r="K40" s="2550"/>
      <c r="L40" s="2550"/>
      <c r="M40" s="2550"/>
      <c r="N40" s="2550"/>
      <c r="O40" s="2550"/>
      <c r="P40" s="2550"/>
      <c r="Q40" s="2550"/>
      <c r="R40" s="2550"/>
      <c r="S40" s="2550"/>
      <c r="T40" s="2550"/>
      <c r="U40" s="2550"/>
      <c r="V40" s="2550"/>
      <c r="W40" s="2550"/>
      <c r="X40" s="2550"/>
      <c r="Y40" s="2550"/>
      <c r="Z40" s="2550"/>
      <c r="AA40" s="2550"/>
      <c r="AB40" s="2550" t="s">
        <v>292</v>
      </c>
      <c r="AC40" s="2550"/>
      <c r="AD40" s="2550"/>
      <c r="AE40" s="2550"/>
      <c r="AF40" s="2550"/>
      <c r="AG40" s="2550"/>
      <c r="AH40" s="2550"/>
      <c r="AI40" s="2550"/>
      <c r="AJ40" s="2550"/>
      <c r="AK40" s="2550"/>
      <c r="AL40" s="2551" t="s">
        <v>292</v>
      </c>
      <c r="AM40" s="2551"/>
      <c r="AN40" s="2551"/>
      <c r="AO40" s="2551"/>
      <c r="AP40" s="2551"/>
      <c r="AQ40" s="2551"/>
      <c r="AR40" s="2551"/>
      <c r="AS40" s="2551"/>
      <c r="AT40" s="2551"/>
      <c r="AU40" s="2552"/>
      <c r="AV40" s="2553" t="s">
        <v>292</v>
      </c>
      <c r="AW40" s="2554"/>
      <c r="AX40" s="2554"/>
      <c r="AY40" s="2554"/>
      <c r="AZ40" s="2554"/>
      <c r="BA40" s="2554"/>
      <c r="BB40" s="2554"/>
      <c r="BC40" s="2554"/>
      <c r="BD40" s="2554"/>
      <c r="BE40" s="2555"/>
      <c r="BF40" s="2553" t="s">
        <v>292</v>
      </c>
      <c r="BG40" s="2554"/>
      <c r="BH40" s="2554"/>
      <c r="BI40" s="2554"/>
      <c r="BJ40" s="2554"/>
      <c r="BK40" s="2554"/>
      <c r="BL40" s="2554"/>
      <c r="BM40" s="2554"/>
      <c r="BN40" s="2554"/>
      <c r="BO40" s="2555"/>
    </row>
    <row r="41" spans="1:64" s="896" customFormat="1" ht="9.95" customHeight="1" thickBot="1">
      <c r="A41" s="2564"/>
      <c r="B41" s="2564"/>
      <c r="C41" s="2564"/>
      <c r="D41" s="2564"/>
      <c r="E41" s="2564"/>
      <c r="F41" s="2564"/>
      <c r="G41" s="2564"/>
      <c r="H41" s="2564"/>
      <c r="I41" s="2564"/>
      <c r="J41" s="2564"/>
      <c r="K41" s="2564"/>
      <c r="L41" s="2564"/>
      <c r="M41" s="2564"/>
      <c r="N41" s="2564"/>
      <c r="O41" s="2564"/>
      <c r="P41" s="2564"/>
      <c r="Q41" s="2564"/>
      <c r="R41" s="2564"/>
      <c r="S41" s="2564"/>
      <c r="T41" s="2564"/>
      <c r="U41" s="2564"/>
      <c r="V41" s="2564"/>
      <c r="W41" s="2564"/>
      <c r="X41" s="2564"/>
      <c r="Y41" s="2564"/>
      <c r="Z41" s="2564"/>
      <c r="AA41" s="2564"/>
      <c r="AB41" s="1285"/>
      <c r="AC41" s="1304"/>
      <c r="AD41" s="1443"/>
      <c r="AE41" s="897"/>
      <c r="AF41" s="897"/>
      <c r="AG41" s="897"/>
      <c r="AH41" s="1285"/>
      <c r="AI41" s="897"/>
      <c r="AJ41" s="897"/>
      <c r="AK41" s="897"/>
      <c r="AL41" s="897"/>
      <c r="AM41" s="897"/>
      <c r="AN41" s="897"/>
      <c r="AO41" s="897"/>
      <c r="AP41" s="897"/>
      <c r="AQ41" s="897"/>
      <c r="AR41" s="897"/>
      <c r="AS41" s="897"/>
      <c r="AT41" s="897"/>
      <c r="AU41" s="897"/>
      <c r="AV41" s="897"/>
      <c r="AW41" s="897"/>
      <c r="AX41" s="897"/>
      <c r="AY41" s="897"/>
      <c r="AZ41" s="897"/>
      <c r="BA41" s="897"/>
      <c r="BB41" s="897"/>
      <c r="BF41" s="897"/>
      <c r="BG41" s="897"/>
      <c r="BH41" s="897"/>
      <c r="BI41" s="897"/>
      <c r="BJ41" s="897"/>
      <c r="BK41" s="897"/>
      <c r="BL41" s="897"/>
    </row>
    <row r="42" spans="1:67" s="892" customFormat="1" ht="39" thickBot="1">
      <c r="A42" s="1094" t="s">
        <v>11</v>
      </c>
      <c r="B42" s="1183" t="s">
        <v>12</v>
      </c>
      <c r="C42" s="1094" t="s">
        <v>13</v>
      </c>
      <c r="D42" s="1184" t="s">
        <v>14</v>
      </c>
      <c r="E42" s="1184" t="s">
        <v>15</v>
      </c>
      <c r="F42" s="1184" t="s">
        <v>16</v>
      </c>
      <c r="G42" s="1184" t="s">
        <v>17</v>
      </c>
      <c r="H42" s="1184" t="s">
        <v>18</v>
      </c>
      <c r="I42" s="1184" t="s">
        <v>19</v>
      </c>
      <c r="J42" s="1184" t="s">
        <v>20</v>
      </c>
      <c r="K42" s="1184" t="s">
        <v>21</v>
      </c>
      <c r="L42" s="1184" t="s">
        <v>22</v>
      </c>
      <c r="M42" s="1185" t="s">
        <v>23</v>
      </c>
      <c r="N42" s="1185" t="s">
        <v>24</v>
      </c>
      <c r="O42" s="1185" t="s">
        <v>25</v>
      </c>
      <c r="P42" s="1185" t="s">
        <v>26</v>
      </c>
      <c r="Q42" s="1185" t="s">
        <v>27</v>
      </c>
      <c r="R42" s="1185" t="s">
        <v>28</v>
      </c>
      <c r="S42" s="1185" t="s">
        <v>29</v>
      </c>
      <c r="T42" s="1185" t="s">
        <v>30</v>
      </c>
      <c r="U42" s="1185" t="s">
        <v>31</v>
      </c>
      <c r="V42" s="1185" t="s">
        <v>32</v>
      </c>
      <c r="W42" s="1185" t="s">
        <v>33</v>
      </c>
      <c r="X42" s="1185" t="s">
        <v>34</v>
      </c>
      <c r="Y42" s="1184" t="s">
        <v>35</v>
      </c>
      <c r="Z42" s="1186" t="s">
        <v>36</v>
      </c>
      <c r="AA42" s="1184" t="s">
        <v>37</v>
      </c>
      <c r="AB42" s="1286" t="s">
        <v>38</v>
      </c>
      <c r="AC42" s="1631" t="s">
        <v>1781</v>
      </c>
      <c r="AD42" s="1446" t="s">
        <v>39</v>
      </c>
      <c r="AE42" s="1645" t="s">
        <v>1821</v>
      </c>
      <c r="AF42" s="1645" t="s">
        <v>1822</v>
      </c>
      <c r="AG42" s="613" t="s">
        <v>1783</v>
      </c>
      <c r="AH42" s="1286" t="s">
        <v>41</v>
      </c>
      <c r="AI42" s="895" t="s">
        <v>42</v>
      </c>
      <c r="AJ42" s="895" t="s">
        <v>43</v>
      </c>
      <c r="AK42" s="895" t="s">
        <v>44</v>
      </c>
      <c r="AL42" s="894" t="s">
        <v>45</v>
      </c>
      <c r="AM42" s="894" t="s">
        <v>1781</v>
      </c>
      <c r="AN42" s="894" t="s">
        <v>46</v>
      </c>
      <c r="AO42" s="894" t="s">
        <v>2024</v>
      </c>
      <c r="AP42" s="894" t="s">
        <v>1822</v>
      </c>
      <c r="AQ42" s="894" t="s">
        <v>2025</v>
      </c>
      <c r="AR42" s="894" t="s">
        <v>41</v>
      </c>
      <c r="AS42" s="894" t="s">
        <v>42</v>
      </c>
      <c r="AT42" s="894" t="s">
        <v>43</v>
      </c>
      <c r="AU42" s="894" t="s">
        <v>44</v>
      </c>
      <c r="AV42" s="2280" t="s">
        <v>47</v>
      </c>
      <c r="AW42" s="2280" t="s">
        <v>1781</v>
      </c>
      <c r="AX42" s="2280" t="s">
        <v>48</v>
      </c>
      <c r="AY42" s="2280" t="s">
        <v>2621</v>
      </c>
      <c r="AZ42" s="2280" t="s">
        <v>1822</v>
      </c>
      <c r="BA42" s="2280" t="s">
        <v>2454</v>
      </c>
      <c r="BB42" s="2280" t="s">
        <v>41</v>
      </c>
      <c r="BC42" s="2280" t="s">
        <v>42</v>
      </c>
      <c r="BD42" s="2280" t="s">
        <v>43</v>
      </c>
      <c r="BE42" s="2280" t="s">
        <v>44</v>
      </c>
      <c r="BF42" s="2079" t="s">
        <v>49</v>
      </c>
      <c r="BG42" s="2079" t="s">
        <v>1781</v>
      </c>
      <c r="BH42" s="2079" t="s">
        <v>50</v>
      </c>
      <c r="BI42" s="2079" t="s">
        <v>2946</v>
      </c>
      <c r="BJ42" s="2079" t="s">
        <v>1822</v>
      </c>
      <c r="BK42" s="2079" t="s">
        <v>2947</v>
      </c>
      <c r="BL42" s="2079" t="s">
        <v>41</v>
      </c>
      <c r="BM42" s="2079" t="s">
        <v>42</v>
      </c>
      <c r="BN42" s="2079" t="s">
        <v>43</v>
      </c>
      <c r="BO42" s="2479" t="s">
        <v>44</v>
      </c>
    </row>
    <row r="43" spans="1:67" s="1160" customFormat="1" ht="87" customHeight="1" thickBot="1">
      <c r="A43" s="2566">
        <v>1</v>
      </c>
      <c r="B43" s="2566" t="s">
        <v>131</v>
      </c>
      <c r="C43" s="2567" t="s">
        <v>503</v>
      </c>
      <c r="D43" s="891" t="s">
        <v>504</v>
      </c>
      <c r="E43" s="798" t="s">
        <v>72</v>
      </c>
      <c r="F43" s="799" t="s">
        <v>505</v>
      </c>
      <c r="G43" s="800" t="s">
        <v>73</v>
      </c>
      <c r="H43" s="972" t="s">
        <v>1120</v>
      </c>
      <c r="I43" s="872">
        <v>0.16666666666666669</v>
      </c>
      <c r="J43" s="1072" t="s">
        <v>134</v>
      </c>
      <c r="K43" s="951">
        <v>42005</v>
      </c>
      <c r="L43" s="951">
        <v>42369</v>
      </c>
      <c r="M43" s="870"/>
      <c r="N43" s="870"/>
      <c r="O43" s="870"/>
      <c r="P43" s="870"/>
      <c r="Q43" s="870"/>
      <c r="R43" s="870"/>
      <c r="S43" s="870"/>
      <c r="T43" s="870"/>
      <c r="U43" s="1146"/>
      <c r="V43" s="1146"/>
      <c r="W43" s="1146"/>
      <c r="X43" s="1147"/>
      <c r="Y43" s="972" t="s">
        <v>506</v>
      </c>
      <c r="Z43" s="969">
        <v>0</v>
      </c>
      <c r="AA43" s="1159" t="s">
        <v>1090</v>
      </c>
      <c r="AB43" s="1282">
        <f aca="true" t="shared" si="21" ref="AB43:AB50">SUM(M43:N43)</f>
        <v>0</v>
      </c>
      <c r="AC43" s="1640">
        <f aca="true" t="shared" si="22" ref="AC43:AC50">IF(AB43=0,0%,100%)</f>
        <v>0</v>
      </c>
      <c r="AD43" s="1444">
        <f aca="true" t="shared" si="23" ref="AD43:AD50">SUM(M43:N43)</f>
        <v>0</v>
      </c>
      <c r="AE43" s="1640" t="s">
        <v>1090</v>
      </c>
      <c r="AF43" s="1640" t="s">
        <v>1090</v>
      </c>
      <c r="AG43" s="1640" t="str">
        <f>AF43</f>
        <v>-</v>
      </c>
      <c r="AH43" s="1282">
        <v>0</v>
      </c>
      <c r="AI43" s="805">
        <v>0</v>
      </c>
      <c r="AJ43" s="805"/>
      <c r="AK43" s="805"/>
      <c r="AL43" s="1925">
        <f>SUM(M43:P43)</f>
        <v>0</v>
      </c>
      <c r="AM43" s="1934">
        <f aca="true" t="shared" si="24" ref="AM43:AM50">IF(AL43=0,0%,100%)</f>
        <v>0</v>
      </c>
      <c r="AN43" s="1925">
        <v>0</v>
      </c>
      <c r="AO43" s="1934" t="s">
        <v>1090</v>
      </c>
      <c r="AP43" s="1934" t="s">
        <v>1090</v>
      </c>
      <c r="AQ43" s="1934" t="str">
        <f aca="true" t="shared" si="25" ref="AQ43:AQ50">IF(AM43&gt;0,AO43,"-")</f>
        <v>-</v>
      </c>
      <c r="AR43" s="1921"/>
      <c r="AS43" s="1921"/>
      <c r="AT43" s="1926" t="s">
        <v>2447</v>
      </c>
      <c r="AU43" s="1921"/>
      <c r="AV43" s="2270">
        <f>SUM(M43:R43)</f>
        <v>0</v>
      </c>
      <c r="AW43" s="2273">
        <f aca="true" t="shared" si="26" ref="AW43:AW55">IF(AV43=0,0%,100%)</f>
        <v>0</v>
      </c>
      <c r="AX43" s="2270">
        <v>0</v>
      </c>
      <c r="AY43" s="2273" t="s">
        <v>1090</v>
      </c>
      <c r="AZ43" s="2273" t="s">
        <v>1090</v>
      </c>
      <c r="BA43" s="2273" t="s">
        <v>1090</v>
      </c>
      <c r="BB43" s="2304">
        <v>0</v>
      </c>
      <c r="BC43" s="2270" t="s">
        <v>1090</v>
      </c>
      <c r="BD43" s="2279" t="s">
        <v>2447</v>
      </c>
      <c r="BE43" s="2279"/>
      <c r="BF43" s="2360">
        <f>SUM(M43:T43)</f>
        <v>0</v>
      </c>
      <c r="BG43" s="2361">
        <f aca="true" t="shared" si="27" ref="BG43:BG55">IF(BF43=0,0%,100%)</f>
        <v>0</v>
      </c>
      <c r="BH43" s="2360" t="s">
        <v>1090</v>
      </c>
      <c r="BI43" s="2361" t="s">
        <v>1090</v>
      </c>
      <c r="BJ43" s="2361"/>
      <c r="BK43" s="2361" t="s">
        <v>1090</v>
      </c>
      <c r="BL43" s="2362"/>
      <c r="BM43" s="2360"/>
      <c r="BN43" s="2363"/>
      <c r="BO43" s="2363"/>
    </row>
    <row r="44" spans="1:67" s="1160" customFormat="1" ht="49.5" customHeight="1" thickBot="1">
      <c r="A44" s="2566"/>
      <c r="B44" s="2566"/>
      <c r="C44" s="2567"/>
      <c r="D44" s="874" t="s">
        <v>135</v>
      </c>
      <c r="E44" s="1062" t="s">
        <v>136</v>
      </c>
      <c r="F44" s="1161">
        <v>4</v>
      </c>
      <c r="G44" s="1062" t="s">
        <v>137</v>
      </c>
      <c r="H44" s="972" t="s">
        <v>1120</v>
      </c>
      <c r="I44" s="872">
        <v>0.16666666666666669</v>
      </c>
      <c r="J44" s="1060" t="s">
        <v>138</v>
      </c>
      <c r="K44" s="910">
        <v>42005</v>
      </c>
      <c r="L44" s="910">
        <v>42369</v>
      </c>
      <c r="M44" s="870"/>
      <c r="N44" s="870"/>
      <c r="O44" s="870">
        <v>1</v>
      </c>
      <c r="P44" s="870"/>
      <c r="Q44" s="870"/>
      <c r="R44" s="870">
        <v>1</v>
      </c>
      <c r="S44" s="870"/>
      <c r="T44" s="870"/>
      <c r="U44" s="1146">
        <v>1</v>
      </c>
      <c r="V44" s="1146"/>
      <c r="W44" s="1146"/>
      <c r="X44" s="1147">
        <v>1</v>
      </c>
      <c r="Y44" s="1162">
        <v>4</v>
      </c>
      <c r="Z44" s="969">
        <v>0</v>
      </c>
      <c r="AA44" s="1159" t="s">
        <v>1090</v>
      </c>
      <c r="AB44" s="1282">
        <f t="shared" si="21"/>
        <v>0</v>
      </c>
      <c r="AC44" s="1640">
        <f t="shared" si="22"/>
        <v>0</v>
      </c>
      <c r="AD44" s="1444">
        <f t="shared" si="23"/>
        <v>0</v>
      </c>
      <c r="AE44" s="1640" t="s">
        <v>1090</v>
      </c>
      <c r="AF44" s="1640">
        <f aca="true" t="shared" si="28" ref="AF44:AF46">AD44/Y44</f>
        <v>0</v>
      </c>
      <c r="AG44" s="1640">
        <f aca="true" t="shared" si="29" ref="AG44:AG46">AF44</f>
        <v>0</v>
      </c>
      <c r="AH44" s="1282">
        <v>0</v>
      </c>
      <c r="AI44" s="805">
        <v>0</v>
      </c>
      <c r="AJ44" s="805"/>
      <c r="AK44" s="805"/>
      <c r="AL44" s="1925">
        <f aca="true" t="shared" si="30" ref="AL44:AL48">SUM(M44:P44)</f>
        <v>1</v>
      </c>
      <c r="AM44" s="1934">
        <f t="shared" si="24"/>
        <v>1</v>
      </c>
      <c r="AN44" s="1925">
        <v>1</v>
      </c>
      <c r="AO44" s="1934">
        <f>AN44/AL44</f>
        <v>1</v>
      </c>
      <c r="AP44" s="1934">
        <f aca="true" t="shared" si="31" ref="AP44:AP46">AN44/Y44</f>
        <v>0.25</v>
      </c>
      <c r="AQ44" s="1934">
        <v>0.25</v>
      </c>
      <c r="AR44" s="1921"/>
      <c r="AS44" s="1921"/>
      <c r="AT44" s="1926"/>
      <c r="AU44" s="1921"/>
      <c r="AV44" s="2270">
        <f aca="true" t="shared" si="32" ref="AV44:AV48">SUM(M44:R44)</f>
        <v>2</v>
      </c>
      <c r="AW44" s="2273">
        <f t="shared" si="26"/>
        <v>1</v>
      </c>
      <c r="AX44" s="2270">
        <v>2</v>
      </c>
      <c r="AY44" s="2273">
        <v>1</v>
      </c>
      <c r="AZ44" s="2273">
        <v>0.5</v>
      </c>
      <c r="BA44" s="2273">
        <v>0.5</v>
      </c>
      <c r="BB44" s="2304">
        <v>0</v>
      </c>
      <c r="BC44" s="2270" t="s">
        <v>1090</v>
      </c>
      <c r="BD44" s="2279"/>
      <c r="BE44" s="2279"/>
      <c r="BF44" s="2360">
        <f aca="true" t="shared" si="33" ref="BF44:BF48">SUM(M44:T44)</f>
        <v>2</v>
      </c>
      <c r="BG44" s="2361">
        <f t="shared" si="27"/>
        <v>1</v>
      </c>
      <c r="BH44" s="2360">
        <v>2</v>
      </c>
      <c r="BI44" s="2361">
        <v>1</v>
      </c>
      <c r="BJ44" s="2361"/>
      <c r="BK44" s="2361">
        <v>0.5</v>
      </c>
      <c r="BL44" s="2362"/>
      <c r="BM44" s="2360"/>
      <c r="BN44" s="2363"/>
      <c r="BO44" s="2363"/>
    </row>
    <row r="45" spans="1:67" s="1160" customFormat="1" ht="48" customHeight="1" thickBot="1">
      <c r="A45" s="2566"/>
      <c r="B45" s="2566"/>
      <c r="C45" s="2568" t="s">
        <v>507</v>
      </c>
      <c r="D45" s="882" t="s">
        <v>151</v>
      </c>
      <c r="E45" s="1073" t="s">
        <v>152</v>
      </c>
      <c r="F45" s="1163">
        <v>12</v>
      </c>
      <c r="G45" s="1073" t="s">
        <v>153</v>
      </c>
      <c r="H45" s="972" t="s">
        <v>1120</v>
      </c>
      <c r="I45" s="872">
        <v>0.16666666666666669</v>
      </c>
      <c r="J45" s="1072" t="s">
        <v>154</v>
      </c>
      <c r="K45" s="951">
        <v>42006</v>
      </c>
      <c r="L45" s="951">
        <v>42369</v>
      </c>
      <c r="M45" s="870">
        <v>1</v>
      </c>
      <c r="N45" s="870">
        <v>1</v>
      </c>
      <c r="O45" s="870">
        <v>1</v>
      </c>
      <c r="P45" s="870">
        <v>1</v>
      </c>
      <c r="Q45" s="870">
        <v>1</v>
      </c>
      <c r="R45" s="870">
        <v>1</v>
      </c>
      <c r="S45" s="870">
        <v>1</v>
      </c>
      <c r="T45" s="870">
        <v>1</v>
      </c>
      <c r="U45" s="1146">
        <v>1</v>
      </c>
      <c r="V45" s="1146">
        <v>1</v>
      </c>
      <c r="W45" s="1146">
        <v>1</v>
      </c>
      <c r="X45" s="1147">
        <v>1</v>
      </c>
      <c r="Y45" s="1164">
        <v>12</v>
      </c>
      <c r="Z45" s="969">
        <v>0</v>
      </c>
      <c r="AA45" s="1159" t="s">
        <v>1090</v>
      </c>
      <c r="AB45" s="1282">
        <f t="shared" si="21"/>
        <v>2</v>
      </c>
      <c r="AC45" s="1640">
        <f t="shared" si="22"/>
        <v>1</v>
      </c>
      <c r="AD45" s="1444">
        <f t="shared" si="23"/>
        <v>2</v>
      </c>
      <c r="AE45" s="1640">
        <f aca="true" t="shared" si="34" ref="AE45:AE46">AD45/AB45</f>
        <v>1</v>
      </c>
      <c r="AF45" s="1640">
        <f t="shared" si="28"/>
        <v>0.16666666666666666</v>
      </c>
      <c r="AG45" s="1640">
        <f t="shared" si="29"/>
        <v>0.16666666666666666</v>
      </c>
      <c r="AH45" s="1282">
        <v>0</v>
      </c>
      <c r="AI45" s="805">
        <v>0</v>
      </c>
      <c r="AJ45" s="805"/>
      <c r="AK45" s="805"/>
      <c r="AL45" s="1925">
        <f t="shared" si="30"/>
        <v>4</v>
      </c>
      <c r="AM45" s="1934">
        <f t="shared" si="24"/>
        <v>1</v>
      </c>
      <c r="AN45" s="1925">
        <v>4</v>
      </c>
      <c r="AO45" s="1934">
        <f aca="true" t="shared" si="35" ref="AO45:AO46">AN45/AL45</f>
        <v>1</v>
      </c>
      <c r="AP45" s="1934">
        <f t="shared" si="31"/>
        <v>0.3333333333333333</v>
      </c>
      <c r="AQ45" s="1934">
        <v>0.33</v>
      </c>
      <c r="AR45" s="1921"/>
      <c r="AS45" s="1921"/>
      <c r="AT45" s="1926"/>
      <c r="AU45" s="1921"/>
      <c r="AV45" s="2270">
        <f t="shared" si="32"/>
        <v>6</v>
      </c>
      <c r="AW45" s="2273">
        <f t="shared" si="26"/>
        <v>1</v>
      </c>
      <c r="AX45" s="2270">
        <v>6</v>
      </c>
      <c r="AY45" s="2273">
        <v>1</v>
      </c>
      <c r="AZ45" s="2273">
        <v>0.5</v>
      </c>
      <c r="BA45" s="2273">
        <v>0.5</v>
      </c>
      <c r="BB45" s="2304">
        <v>0</v>
      </c>
      <c r="BC45" s="2270" t="s">
        <v>1090</v>
      </c>
      <c r="BD45" s="2279"/>
      <c r="BE45" s="2279"/>
      <c r="BF45" s="2360">
        <f t="shared" si="33"/>
        <v>8</v>
      </c>
      <c r="BG45" s="2361">
        <f t="shared" si="27"/>
        <v>1</v>
      </c>
      <c r="BH45" s="2360">
        <v>8</v>
      </c>
      <c r="BI45" s="2361">
        <v>1</v>
      </c>
      <c r="BJ45" s="2361"/>
      <c r="BK45" s="2361">
        <f>BH45/Y45</f>
        <v>0.6666666666666666</v>
      </c>
      <c r="BL45" s="2362"/>
      <c r="BM45" s="2360"/>
      <c r="BN45" s="2363"/>
      <c r="BO45" s="2363"/>
    </row>
    <row r="46" spans="1:67" s="1160" customFormat="1" ht="54.75" customHeight="1" thickBot="1">
      <c r="A46" s="2566"/>
      <c r="B46" s="2566"/>
      <c r="C46" s="2568"/>
      <c r="D46" s="874" t="s">
        <v>155</v>
      </c>
      <c r="E46" s="1064" t="s">
        <v>152</v>
      </c>
      <c r="F46" s="1165">
        <v>12</v>
      </c>
      <c r="G46" s="1166" t="s">
        <v>153</v>
      </c>
      <c r="H46" s="972" t="s">
        <v>1120</v>
      </c>
      <c r="I46" s="872">
        <v>0.16666666666666669</v>
      </c>
      <c r="J46" s="1060" t="s">
        <v>154</v>
      </c>
      <c r="K46" s="910">
        <v>42006</v>
      </c>
      <c r="L46" s="910">
        <v>42369</v>
      </c>
      <c r="M46" s="870">
        <v>1</v>
      </c>
      <c r="N46" s="870">
        <v>1</v>
      </c>
      <c r="O46" s="870">
        <v>1</v>
      </c>
      <c r="P46" s="870">
        <v>1</v>
      </c>
      <c r="Q46" s="870">
        <v>1</v>
      </c>
      <c r="R46" s="870">
        <v>1</v>
      </c>
      <c r="S46" s="870">
        <v>1</v>
      </c>
      <c r="T46" s="870">
        <v>1</v>
      </c>
      <c r="U46" s="1146">
        <v>1</v>
      </c>
      <c r="V46" s="1146">
        <v>1</v>
      </c>
      <c r="W46" s="1146">
        <v>1</v>
      </c>
      <c r="X46" s="1147">
        <v>1</v>
      </c>
      <c r="Y46" s="1162">
        <v>12</v>
      </c>
      <c r="Z46" s="969">
        <v>0</v>
      </c>
      <c r="AA46" s="1159" t="s">
        <v>1090</v>
      </c>
      <c r="AB46" s="1282">
        <f t="shared" si="21"/>
        <v>2</v>
      </c>
      <c r="AC46" s="1640">
        <f t="shared" si="22"/>
        <v>1</v>
      </c>
      <c r="AD46" s="1444">
        <f t="shared" si="23"/>
        <v>2</v>
      </c>
      <c r="AE46" s="1640">
        <f t="shared" si="34"/>
        <v>1</v>
      </c>
      <c r="AF46" s="1640">
        <f t="shared" si="28"/>
        <v>0.16666666666666666</v>
      </c>
      <c r="AG46" s="1640">
        <f t="shared" si="29"/>
        <v>0.16666666666666666</v>
      </c>
      <c r="AH46" s="1282">
        <v>0</v>
      </c>
      <c r="AI46" s="805">
        <v>0</v>
      </c>
      <c r="AJ46" s="805"/>
      <c r="AK46" s="805"/>
      <c r="AL46" s="1925">
        <f t="shared" si="30"/>
        <v>4</v>
      </c>
      <c r="AM46" s="1934">
        <f t="shared" si="24"/>
        <v>1</v>
      </c>
      <c r="AN46" s="1925">
        <v>4</v>
      </c>
      <c r="AO46" s="1934">
        <f t="shared" si="35"/>
        <v>1</v>
      </c>
      <c r="AP46" s="1934">
        <f t="shared" si="31"/>
        <v>0.3333333333333333</v>
      </c>
      <c r="AQ46" s="1934">
        <v>0.33</v>
      </c>
      <c r="AR46" s="1921"/>
      <c r="AS46" s="1921"/>
      <c r="AT46" s="1926"/>
      <c r="AU46" s="1921"/>
      <c r="AV46" s="2270">
        <f t="shared" si="32"/>
        <v>6</v>
      </c>
      <c r="AW46" s="2273">
        <f t="shared" si="26"/>
        <v>1</v>
      </c>
      <c r="AX46" s="2270">
        <v>6</v>
      </c>
      <c r="AY46" s="2273">
        <v>1</v>
      </c>
      <c r="AZ46" s="2273">
        <v>0.5</v>
      </c>
      <c r="BA46" s="2273">
        <v>0.5</v>
      </c>
      <c r="BB46" s="2304">
        <v>0</v>
      </c>
      <c r="BC46" s="2270" t="s">
        <v>1090</v>
      </c>
      <c r="BD46" s="2279"/>
      <c r="BE46" s="2279"/>
      <c r="BF46" s="2360">
        <f t="shared" si="33"/>
        <v>8</v>
      </c>
      <c r="BG46" s="2361">
        <f t="shared" si="27"/>
        <v>1</v>
      </c>
      <c r="BH46" s="2360">
        <v>8</v>
      </c>
      <c r="BI46" s="2361">
        <v>1</v>
      </c>
      <c r="BJ46" s="2361"/>
      <c r="BK46" s="2361">
        <f>BH46/Y46</f>
        <v>0.6666666666666666</v>
      </c>
      <c r="BL46" s="2362"/>
      <c r="BM46" s="2360"/>
      <c r="BN46" s="2363"/>
      <c r="BO46" s="2363"/>
    </row>
    <row r="47" spans="1:67" s="1160" customFormat="1" ht="87.75" customHeight="1" thickBot="1">
      <c r="A47" s="2566"/>
      <c r="B47" s="2566"/>
      <c r="C47" s="2568"/>
      <c r="D47" s="882" t="s">
        <v>156</v>
      </c>
      <c r="E47" s="798" t="s">
        <v>157</v>
      </c>
      <c r="F47" s="1167" t="s">
        <v>140</v>
      </c>
      <c r="G47" s="799" t="s">
        <v>141</v>
      </c>
      <c r="H47" s="972" t="s">
        <v>1120</v>
      </c>
      <c r="I47" s="872">
        <v>0.16666666666666669</v>
      </c>
      <c r="J47" s="1074" t="s">
        <v>158</v>
      </c>
      <c r="K47" s="1168">
        <v>42006</v>
      </c>
      <c r="L47" s="951">
        <v>42369</v>
      </c>
      <c r="M47" s="870"/>
      <c r="N47" s="870"/>
      <c r="O47" s="870"/>
      <c r="P47" s="870"/>
      <c r="Q47" s="870"/>
      <c r="R47" s="870"/>
      <c r="S47" s="870"/>
      <c r="T47" s="870"/>
      <c r="U47" s="1146"/>
      <c r="V47" s="1146"/>
      <c r="W47" s="1146"/>
      <c r="X47" s="1147"/>
      <c r="Y47" s="1164" t="s">
        <v>140</v>
      </c>
      <c r="Z47" s="969">
        <v>0</v>
      </c>
      <c r="AA47" s="1159" t="s">
        <v>1090</v>
      </c>
      <c r="AB47" s="1282">
        <f t="shared" si="21"/>
        <v>0</v>
      </c>
      <c r="AC47" s="1640">
        <f t="shared" si="22"/>
        <v>0</v>
      </c>
      <c r="AD47" s="1444">
        <f t="shared" si="23"/>
        <v>0</v>
      </c>
      <c r="AE47" s="1640" t="s">
        <v>1090</v>
      </c>
      <c r="AF47" s="1640" t="s">
        <v>1090</v>
      </c>
      <c r="AG47" s="1640" t="str">
        <f>AF47</f>
        <v>-</v>
      </c>
      <c r="AH47" s="1282">
        <v>0</v>
      </c>
      <c r="AI47" s="805">
        <v>0</v>
      </c>
      <c r="AJ47" s="805"/>
      <c r="AK47" s="805"/>
      <c r="AL47" s="1925">
        <f t="shared" si="30"/>
        <v>0</v>
      </c>
      <c r="AM47" s="1934">
        <f t="shared" si="24"/>
        <v>0</v>
      </c>
      <c r="AN47" s="1925">
        <v>0</v>
      </c>
      <c r="AO47" s="1934" t="s">
        <v>1090</v>
      </c>
      <c r="AP47" s="1934" t="s">
        <v>1090</v>
      </c>
      <c r="AQ47" s="1934" t="str">
        <f t="shared" si="25"/>
        <v>-</v>
      </c>
      <c r="AR47" s="1921"/>
      <c r="AS47" s="1921"/>
      <c r="AT47" s="1926" t="s">
        <v>2448</v>
      </c>
      <c r="AU47" s="1921"/>
      <c r="AV47" s="2270">
        <f t="shared" si="32"/>
        <v>0</v>
      </c>
      <c r="AW47" s="2273">
        <f t="shared" si="26"/>
        <v>0</v>
      </c>
      <c r="AX47" s="2270">
        <v>0</v>
      </c>
      <c r="AY47" s="2273" t="s">
        <v>1090</v>
      </c>
      <c r="AZ47" s="2273" t="s">
        <v>1090</v>
      </c>
      <c r="BA47" s="2273" t="s">
        <v>1090</v>
      </c>
      <c r="BB47" s="2304">
        <v>0</v>
      </c>
      <c r="BC47" s="2270" t="s">
        <v>1090</v>
      </c>
      <c r="BD47" s="2279" t="s">
        <v>2448</v>
      </c>
      <c r="BE47" s="2279"/>
      <c r="BF47" s="2360">
        <f t="shared" si="33"/>
        <v>0</v>
      </c>
      <c r="BG47" s="2361">
        <f t="shared" si="27"/>
        <v>0</v>
      </c>
      <c r="BH47" s="2360" t="s">
        <v>1090</v>
      </c>
      <c r="BI47" s="2361" t="s">
        <v>1090</v>
      </c>
      <c r="BJ47" s="2361"/>
      <c r="BK47" s="2361" t="s">
        <v>1090</v>
      </c>
      <c r="BL47" s="2362"/>
      <c r="BM47" s="2360"/>
      <c r="BN47" s="2363"/>
      <c r="BO47" s="2363"/>
    </row>
    <row r="48" spans="1:67" s="1160" customFormat="1" ht="59.25" customHeight="1" thickBot="1">
      <c r="A48" s="2566"/>
      <c r="B48" s="2566"/>
      <c r="C48" s="2568"/>
      <c r="D48" s="874" t="s">
        <v>147</v>
      </c>
      <c r="E48" s="784" t="s">
        <v>148</v>
      </c>
      <c r="F48" s="784" t="s">
        <v>149</v>
      </c>
      <c r="G48" s="1166" t="s">
        <v>150</v>
      </c>
      <c r="H48" s="972" t="s">
        <v>1120</v>
      </c>
      <c r="I48" s="872">
        <v>0.16666666666666669</v>
      </c>
      <c r="J48" s="1060" t="s">
        <v>148</v>
      </c>
      <c r="K48" s="910">
        <v>42006</v>
      </c>
      <c r="L48" s="910">
        <v>42369</v>
      </c>
      <c r="M48" s="870"/>
      <c r="N48" s="870"/>
      <c r="O48" s="870"/>
      <c r="P48" s="870"/>
      <c r="Q48" s="870"/>
      <c r="R48" s="870"/>
      <c r="S48" s="870"/>
      <c r="T48" s="870"/>
      <c r="U48" s="1146"/>
      <c r="V48" s="1146"/>
      <c r="W48" s="1146"/>
      <c r="X48" s="1147"/>
      <c r="Y48" s="1162" t="s">
        <v>149</v>
      </c>
      <c r="Z48" s="969">
        <v>0</v>
      </c>
      <c r="AA48" s="1159" t="s">
        <v>1090</v>
      </c>
      <c r="AB48" s="1282">
        <f t="shared" si="21"/>
        <v>0</v>
      </c>
      <c r="AC48" s="1640">
        <f t="shared" si="22"/>
        <v>0</v>
      </c>
      <c r="AD48" s="1444">
        <f t="shared" si="23"/>
        <v>0</v>
      </c>
      <c r="AE48" s="1640" t="s">
        <v>1090</v>
      </c>
      <c r="AF48" s="1640" t="s">
        <v>1090</v>
      </c>
      <c r="AG48" s="1640" t="str">
        <f>AF48</f>
        <v>-</v>
      </c>
      <c r="AH48" s="1282">
        <v>0</v>
      </c>
      <c r="AI48" s="805">
        <v>0</v>
      </c>
      <c r="AJ48" s="805"/>
      <c r="AK48" s="805"/>
      <c r="AL48" s="1925">
        <f t="shared" si="30"/>
        <v>0</v>
      </c>
      <c r="AM48" s="1934">
        <f t="shared" si="24"/>
        <v>0</v>
      </c>
      <c r="AN48" s="1925"/>
      <c r="AO48" s="1934" t="s">
        <v>1090</v>
      </c>
      <c r="AP48" s="1934" t="s">
        <v>1090</v>
      </c>
      <c r="AQ48" s="1934" t="str">
        <f t="shared" si="25"/>
        <v>-</v>
      </c>
      <c r="AR48" s="1921"/>
      <c r="AS48" s="1921"/>
      <c r="AT48" s="1926" t="s">
        <v>2449</v>
      </c>
      <c r="AU48" s="1921"/>
      <c r="AV48" s="2270">
        <f t="shared" si="32"/>
        <v>0</v>
      </c>
      <c r="AW48" s="2273">
        <f t="shared" si="26"/>
        <v>0</v>
      </c>
      <c r="AX48" s="2270" t="s">
        <v>1090</v>
      </c>
      <c r="AY48" s="2273" t="s">
        <v>1090</v>
      </c>
      <c r="AZ48" s="2273" t="s">
        <v>1090</v>
      </c>
      <c r="BA48" s="2273" t="s">
        <v>1090</v>
      </c>
      <c r="BB48" s="2304">
        <v>0</v>
      </c>
      <c r="BC48" s="2270" t="s">
        <v>1090</v>
      </c>
      <c r="BD48" s="2279" t="s">
        <v>2449</v>
      </c>
      <c r="BE48" s="2279"/>
      <c r="BF48" s="2360">
        <f t="shared" si="33"/>
        <v>0</v>
      </c>
      <c r="BG48" s="2361">
        <f t="shared" si="27"/>
        <v>0</v>
      </c>
      <c r="BH48" s="2360" t="s">
        <v>1090</v>
      </c>
      <c r="BI48" s="2361" t="s">
        <v>1090</v>
      </c>
      <c r="BJ48" s="2361"/>
      <c r="BK48" s="2361" t="s">
        <v>1090</v>
      </c>
      <c r="BL48" s="2362"/>
      <c r="BM48" s="2360"/>
      <c r="BN48" s="2363"/>
      <c r="BO48" s="2363"/>
    </row>
    <row r="49" spans="1:67" s="1175" customFormat="1" ht="20.1" customHeight="1" thickBot="1">
      <c r="A49" s="2569" t="s">
        <v>130</v>
      </c>
      <c r="B49" s="2569"/>
      <c r="C49" s="2569"/>
      <c r="D49" s="2569"/>
      <c r="E49" s="1169"/>
      <c r="F49" s="1169"/>
      <c r="G49" s="1169"/>
      <c r="H49" s="1170"/>
      <c r="I49" s="1171">
        <f>+SUM(I43:I48)</f>
        <v>1.0000000000000002</v>
      </c>
      <c r="J49" s="1169"/>
      <c r="K49" s="1169"/>
      <c r="L49" s="1169"/>
      <c r="M49" s="1169"/>
      <c r="N49" s="1169"/>
      <c r="O49" s="1169"/>
      <c r="P49" s="1169"/>
      <c r="Q49" s="1169"/>
      <c r="R49" s="1169"/>
      <c r="S49" s="1169"/>
      <c r="T49" s="1169"/>
      <c r="U49" s="1169"/>
      <c r="V49" s="1169"/>
      <c r="W49" s="1169"/>
      <c r="X49" s="1169"/>
      <c r="Y49" s="1172"/>
      <c r="Z49" s="1173">
        <f>SUM(Z43:Z48)</f>
        <v>0</v>
      </c>
      <c r="AA49" s="1174"/>
      <c r="AB49" s="1477"/>
      <c r="AC49" s="1468">
        <f>AVERAGEIF(AC43:AC48,"&gt;0")</f>
        <v>1</v>
      </c>
      <c r="AD49" s="1600"/>
      <c r="AE49" s="1468">
        <f>AVERAGE(AE43:AE48)</f>
        <v>1</v>
      </c>
      <c r="AF49" s="1468"/>
      <c r="AG49" s="1468">
        <f>AVERAGE(AG43:AG48)</f>
        <v>0.1111111111111111</v>
      </c>
      <c r="AH49" s="1478"/>
      <c r="AI49" s="1479"/>
      <c r="AJ49" s="1479"/>
      <c r="AK49" s="1479"/>
      <c r="AL49" s="1938"/>
      <c r="AM49" s="1939">
        <f>AVERAGEIF(AM39:AM48,"&gt;0")</f>
        <v>1</v>
      </c>
      <c r="AN49" s="1938"/>
      <c r="AO49" s="1940">
        <f>AVERAGE(AO43:AO48)</f>
        <v>1</v>
      </c>
      <c r="AP49" s="1938"/>
      <c r="AQ49" s="1940">
        <f>AVERAGE(AQ43:AQ48)</f>
        <v>0.3033333333333334</v>
      </c>
      <c r="AR49" s="1938"/>
      <c r="AS49" s="1938"/>
      <c r="AT49" s="1920"/>
      <c r="AU49" s="1920"/>
      <c r="AV49" s="1920"/>
      <c r="AW49" s="2282">
        <v>1</v>
      </c>
      <c r="AX49" s="1920"/>
      <c r="AY49" s="2293">
        <f>AVERAGE(AY43:AY48)</f>
        <v>1</v>
      </c>
      <c r="AZ49" s="1920"/>
      <c r="BA49" s="2298">
        <f>AVERAGE(BA43:BA48)</f>
        <v>0.5</v>
      </c>
      <c r="BB49" s="1920"/>
      <c r="BC49" s="1920"/>
      <c r="BD49" s="1920"/>
      <c r="BE49" s="1920"/>
      <c r="BF49" s="1920"/>
      <c r="BG49" s="2282">
        <v>1</v>
      </c>
      <c r="BH49" s="1920"/>
      <c r="BI49" s="2293">
        <f>AVERAGE(BI43:BI48)</f>
        <v>1</v>
      </c>
      <c r="BJ49" s="1920"/>
      <c r="BK49" s="2511">
        <f>AVERAGE(BK43:BK48)</f>
        <v>0.611111111111111</v>
      </c>
      <c r="BL49" s="1920"/>
      <c r="BM49" s="1920"/>
      <c r="BN49" s="1920"/>
      <c r="BO49" s="1920"/>
    </row>
    <row r="50" spans="1:67" s="1160" customFormat="1" ht="63" customHeight="1" thickBot="1">
      <c r="A50" s="2570">
        <v>2</v>
      </c>
      <c r="B50" s="2570" t="s">
        <v>228</v>
      </c>
      <c r="C50" s="2567" t="s">
        <v>237</v>
      </c>
      <c r="D50" s="1176" t="s">
        <v>545</v>
      </c>
      <c r="E50" s="1177" t="s">
        <v>148</v>
      </c>
      <c r="F50" s="798" t="s">
        <v>149</v>
      </c>
      <c r="G50" s="2454" t="s">
        <v>150</v>
      </c>
      <c r="H50" s="2455" t="s">
        <v>1120</v>
      </c>
      <c r="I50" s="2451">
        <v>1</v>
      </c>
      <c r="J50" s="2456" t="s">
        <v>260</v>
      </c>
      <c r="K50" s="1178">
        <v>42006</v>
      </c>
      <c r="L50" s="1178">
        <v>42369</v>
      </c>
      <c r="M50" s="870"/>
      <c r="N50" s="870"/>
      <c r="O50" s="870"/>
      <c r="P50" s="870"/>
      <c r="Q50" s="870"/>
      <c r="R50" s="870"/>
      <c r="S50" s="870"/>
      <c r="T50" s="870"/>
      <c r="U50" s="1146"/>
      <c r="V50" s="1146"/>
      <c r="W50" s="1146"/>
      <c r="X50" s="1147"/>
      <c r="Y50" s="1179" t="s">
        <v>149</v>
      </c>
      <c r="Z50" s="1180">
        <v>0</v>
      </c>
      <c r="AA50" s="1159" t="s">
        <v>1090</v>
      </c>
      <c r="AB50" s="1282">
        <f t="shared" si="21"/>
        <v>0</v>
      </c>
      <c r="AC50" s="1640">
        <f t="shared" si="22"/>
        <v>0</v>
      </c>
      <c r="AD50" s="1444">
        <f t="shared" si="23"/>
        <v>0</v>
      </c>
      <c r="AE50" s="1640" t="s">
        <v>1090</v>
      </c>
      <c r="AF50" s="1640" t="s">
        <v>1090</v>
      </c>
      <c r="AG50" s="1640" t="str">
        <f>AF50</f>
        <v>-</v>
      </c>
      <c r="AH50" s="1282">
        <v>0</v>
      </c>
      <c r="AI50" s="805">
        <v>0</v>
      </c>
      <c r="AJ50" s="805"/>
      <c r="AK50" s="805"/>
      <c r="AL50" s="1925">
        <f>SUM(M50:P50)</f>
        <v>0</v>
      </c>
      <c r="AM50" s="1934">
        <f t="shared" si="24"/>
        <v>0</v>
      </c>
      <c r="AN50" s="1925"/>
      <c r="AO50" s="1934" t="s">
        <v>1090</v>
      </c>
      <c r="AP50" s="1934" t="s">
        <v>1090</v>
      </c>
      <c r="AQ50" s="1934" t="str">
        <f t="shared" si="25"/>
        <v>-</v>
      </c>
      <c r="AR50" s="1916"/>
      <c r="AS50" s="1916"/>
      <c r="AT50" s="1927" t="s">
        <v>2450</v>
      </c>
      <c r="AU50" s="1916"/>
      <c r="AV50" s="2270">
        <f>SUM(M50:R50)</f>
        <v>0</v>
      </c>
      <c r="AW50" s="2273">
        <f t="shared" si="26"/>
        <v>0</v>
      </c>
      <c r="AX50" s="1979" t="s">
        <v>1090</v>
      </c>
      <c r="AY50" s="2273" t="s">
        <v>1090</v>
      </c>
      <c r="AZ50" s="2273" t="s">
        <v>1090</v>
      </c>
      <c r="BA50" s="2273" t="s">
        <v>1090</v>
      </c>
      <c r="BB50" s="2304">
        <v>0</v>
      </c>
      <c r="BC50" s="2270" t="s">
        <v>1607</v>
      </c>
      <c r="BD50" s="2279" t="s">
        <v>2450</v>
      </c>
      <c r="BE50" s="2279"/>
      <c r="BF50" s="2360">
        <f>SUM(M50:T50)</f>
        <v>0</v>
      </c>
      <c r="BG50" s="2361">
        <f t="shared" si="27"/>
        <v>0</v>
      </c>
      <c r="BH50" s="2360" t="s">
        <v>1090</v>
      </c>
      <c r="BI50" s="2361" t="s">
        <v>1090</v>
      </c>
      <c r="BJ50" s="2361"/>
      <c r="BK50" s="2361" t="s">
        <v>1090</v>
      </c>
      <c r="BL50" s="2362"/>
      <c r="BM50" s="2360"/>
      <c r="BN50" s="2363"/>
      <c r="BO50" s="2363"/>
    </row>
    <row r="51" spans="1:67" s="1160" customFormat="1" ht="63" customHeight="1" thickBot="1">
      <c r="A51" s="2571"/>
      <c r="B51" s="2571"/>
      <c r="C51" s="2573"/>
      <c r="D51" s="1992" t="s">
        <v>2518</v>
      </c>
      <c r="E51" s="1993" t="s">
        <v>2519</v>
      </c>
      <c r="F51" s="2006">
        <v>2</v>
      </c>
      <c r="G51" s="2007" t="s">
        <v>128</v>
      </c>
      <c r="H51" s="2005" t="s">
        <v>1120</v>
      </c>
      <c r="I51" s="2453">
        <v>0.166</v>
      </c>
      <c r="J51" s="2005" t="s">
        <v>2520</v>
      </c>
      <c r="K51" s="1997">
        <v>42005</v>
      </c>
      <c r="L51" s="1997">
        <v>42369</v>
      </c>
      <c r="M51" s="1998"/>
      <c r="N51" s="1998"/>
      <c r="O51" s="1998"/>
      <c r="P51" s="1998"/>
      <c r="Q51" s="1998"/>
      <c r="R51" s="1999">
        <v>1</v>
      </c>
      <c r="S51" s="1999"/>
      <c r="T51" s="1999"/>
      <c r="U51" s="2000"/>
      <c r="V51" s="2000"/>
      <c r="W51" s="2000"/>
      <c r="X51" s="2001">
        <v>1</v>
      </c>
      <c r="Y51" s="2002">
        <v>2</v>
      </c>
      <c r="Z51" s="2003"/>
      <c r="AA51" s="2004"/>
      <c r="AB51" s="1282"/>
      <c r="AC51" s="1640"/>
      <c r="AD51" s="1444"/>
      <c r="AE51" s="1640"/>
      <c r="AF51" s="1640"/>
      <c r="AG51" s="1640"/>
      <c r="AH51" s="1282"/>
      <c r="AI51" s="805"/>
      <c r="AJ51" s="805"/>
      <c r="AK51" s="805"/>
      <c r="AL51" s="1925"/>
      <c r="AM51" s="1934"/>
      <c r="AN51" s="1925"/>
      <c r="AO51" s="1934"/>
      <c r="AP51" s="1934"/>
      <c r="AQ51" s="1934"/>
      <c r="AR51" s="1916"/>
      <c r="AS51" s="1916"/>
      <c r="AT51" s="1927"/>
      <c r="AU51" s="1916"/>
      <c r="AV51" s="2270">
        <f aca="true" t="shared" si="36" ref="AV51:AV55">SUM(M51:R51)</f>
        <v>1</v>
      </c>
      <c r="AW51" s="2273">
        <f t="shared" si="26"/>
        <v>1</v>
      </c>
      <c r="AX51" s="1979" t="s">
        <v>1090</v>
      </c>
      <c r="AY51" s="2273" t="s">
        <v>1090</v>
      </c>
      <c r="AZ51" s="2273" t="s">
        <v>1090</v>
      </c>
      <c r="BA51" s="2273" t="s">
        <v>1090</v>
      </c>
      <c r="BB51" s="2304">
        <v>0</v>
      </c>
      <c r="BC51" s="2270" t="s">
        <v>1090</v>
      </c>
      <c r="BD51" s="2279"/>
      <c r="BE51" s="2279"/>
      <c r="BF51" s="2360">
        <f aca="true" t="shared" si="37" ref="BF51:BF55">SUM(M51:T51)</f>
        <v>1</v>
      </c>
      <c r="BG51" s="2361">
        <f t="shared" si="27"/>
        <v>1</v>
      </c>
      <c r="BH51" s="2360">
        <v>1</v>
      </c>
      <c r="BI51" s="2361">
        <v>1</v>
      </c>
      <c r="BJ51" s="2361"/>
      <c r="BK51" s="2361">
        <v>0.5</v>
      </c>
      <c r="BL51" s="2362"/>
      <c r="BM51" s="2360"/>
      <c r="BN51" s="2363"/>
      <c r="BO51" s="2363"/>
    </row>
    <row r="52" spans="1:67" s="1160" customFormat="1" ht="63" customHeight="1" thickBot="1">
      <c r="A52" s="2571"/>
      <c r="B52" s="2571"/>
      <c r="C52" s="2573"/>
      <c r="D52" s="1992" t="s">
        <v>2521</v>
      </c>
      <c r="E52" s="2005" t="s">
        <v>2522</v>
      </c>
      <c r="F52" s="2457">
        <v>1</v>
      </c>
      <c r="G52" s="2458" t="s">
        <v>2523</v>
      </c>
      <c r="H52" s="2459" t="s">
        <v>1120</v>
      </c>
      <c r="I52" s="2460">
        <v>0.166</v>
      </c>
      <c r="J52" s="2461" t="s">
        <v>2522</v>
      </c>
      <c r="K52" s="1997">
        <v>42005</v>
      </c>
      <c r="L52" s="2008">
        <v>42063</v>
      </c>
      <c r="M52" s="1998"/>
      <c r="N52" s="1999"/>
      <c r="O52" s="1999">
        <v>1</v>
      </c>
      <c r="P52" s="1998"/>
      <c r="Q52" s="1998"/>
      <c r="R52" s="1999"/>
      <c r="S52" s="1999"/>
      <c r="T52" s="1999"/>
      <c r="U52" s="2000"/>
      <c r="V52" s="2000"/>
      <c r="W52" s="2000"/>
      <c r="X52" s="2001"/>
      <c r="Y52" s="2002">
        <v>1</v>
      </c>
      <c r="Z52" s="2003"/>
      <c r="AA52" s="2004"/>
      <c r="AB52" s="1282"/>
      <c r="AC52" s="1640"/>
      <c r="AD52" s="1444"/>
      <c r="AE52" s="1640"/>
      <c r="AF52" s="1640"/>
      <c r="AG52" s="1640"/>
      <c r="AH52" s="1282"/>
      <c r="AI52" s="805"/>
      <c r="AJ52" s="805"/>
      <c r="AK52" s="805"/>
      <c r="AL52" s="1925"/>
      <c r="AM52" s="1934"/>
      <c r="AN52" s="1925"/>
      <c r="AO52" s="1934"/>
      <c r="AP52" s="1934"/>
      <c r="AQ52" s="1934"/>
      <c r="AR52" s="1916"/>
      <c r="AS52" s="1916"/>
      <c r="AT52" s="1927"/>
      <c r="AU52" s="1916"/>
      <c r="AV52" s="2270">
        <f t="shared" si="36"/>
        <v>1</v>
      </c>
      <c r="AW52" s="2273">
        <f t="shared" si="26"/>
        <v>1</v>
      </c>
      <c r="AX52" s="1979" t="s">
        <v>1090</v>
      </c>
      <c r="AY52" s="2273" t="s">
        <v>1090</v>
      </c>
      <c r="AZ52" s="2273" t="s">
        <v>1090</v>
      </c>
      <c r="BA52" s="2273" t="s">
        <v>1090</v>
      </c>
      <c r="BB52" s="2304">
        <v>0</v>
      </c>
      <c r="BC52" s="2270" t="s">
        <v>1090</v>
      </c>
      <c r="BD52" s="2279"/>
      <c r="BE52" s="2279"/>
      <c r="BF52" s="2360">
        <f t="shared" si="37"/>
        <v>1</v>
      </c>
      <c r="BG52" s="2361">
        <f t="shared" si="27"/>
        <v>1</v>
      </c>
      <c r="BH52" s="2360">
        <v>1</v>
      </c>
      <c r="BI52" s="2361">
        <v>1</v>
      </c>
      <c r="BJ52" s="2361"/>
      <c r="BK52" s="2361">
        <v>1</v>
      </c>
      <c r="BL52" s="2362"/>
      <c r="BM52" s="2360"/>
      <c r="BN52" s="2363"/>
      <c r="BO52" s="2363"/>
    </row>
    <row r="53" spans="1:67" s="1160" customFormat="1" ht="63" customHeight="1" thickBot="1">
      <c r="A53" s="2571"/>
      <c r="B53" s="2571"/>
      <c r="C53" s="2573"/>
      <c r="D53" s="1992" t="s">
        <v>2524</v>
      </c>
      <c r="E53" s="2005" t="s">
        <v>2525</v>
      </c>
      <c r="F53" s="2006">
        <v>1</v>
      </c>
      <c r="G53" s="2448" t="s">
        <v>2526</v>
      </c>
      <c r="H53" s="2450" t="s">
        <v>1120</v>
      </c>
      <c r="I53" s="2453">
        <v>0.166</v>
      </c>
      <c r="J53" s="2005" t="s">
        <v>2527</v>
      </c>
      <c r="K53" s="1997">
        <v>42005</v>
      </c>
      <c r="L53" s="1997">
        <v>42369</v>
      </c>
      <c r="M53" s="1998"/>
      <c r="N53" s="1998"/>
      <c r="O53" s="1998"/>
      <c r="P53" s="1998"/>
      <c r="Q53" s="1998"/>
      <c r="R53" s="1999"/>
      <c r="S53" s="1999"/>
      <c r="T53" s="1999"/>
      <c r="U53" s="2000"/>
      <c r="V53" s="2000"/>
      <c r="W53" s="2000"/>
      <c r="X53" s="2001">
        <v>1</v>
      </c>
      <c r="Y53" s="2009">
        <v>1</v>
      </c>
      <c r="Z53" s="2003"/>
      <c r="AA53" s="2004"/>
      <c r="AB53" s="1282"/>
      <c r="AC53" s="1640"/>
      <c r="AD53" s="1444"/>
      <c r="AE53" s="1640"/>
      <c r="AF53" s="1640"/>
      <c r="AG53" s="1640"/>
      <c r="AH53" s="1282"/>
      <c r="AI53" s="805"/>
      <c r="AJ53" s="805"/>
      <c r="AK53" s="805"/>
      <c r="AL53" s="1925"/>
      <c r="AM53" s="1934"/>
      <c r="AN53" s="1925"/>
      <c r="AO53" s="1934"/>
      <c r="AP53" s="1934"/>
      <c r="AQ53" s="1934"/>
      <c r="AR53" s="1916"/>
      <c r="AS53" s="1916"/>
      <c r="AT53" s="1927"/>
      <c r="AU53" s="1916"/>
      <c r="AV53" s="2270">
        <f t="shared" si="36"/>
        <v>0</v>
      </c>
      <c r="AW53" s="2273">
        <f t="shared" si="26"/>
        <v>0</v>
      </c>
      <c r="AX53" s="1979" t="s">
        <v>1090</v>
      </c>
      <c r="AY53" s="2273" t="s">
        <v>1090</v>
      </c>
      <c r="AZ53" s="2273" t="s">
        <v>1090</v>
      </c>
      <c r="BA53" s="2273" t="s">
        <v>1090</v>
      </c>
      <c r="BB53" s="2304">
        <v>0</v>
      </c>
      <c r="BC53" s="2270" t="s">
        <v>1090</v>
      </c>
      <c r="BD53" s="2279"/>
      <c r="BE53" s="2279"/>
      <c r="BF53" s="2360">
        <f t="shared" si="37"/>
        <v>0</v>
      </c>
      <c r="BG53" s="2361">
        <f t="shared" si="27"/>
        <v>0</v>
      </c>
      <c r="BH53" s="2360" t="s">
        <v>1090</v>
      </c>
      <c r="BI53" s="2361" t="s">
        <v>1090</v>
      </c>
      <c r="BJ53" s="2361"/>
      <c r="BK53" s="2361">
        <v>0</v>
      </c>
      <c r="BL53" s="2362"/>
      <c r="BM53" s="2360"/>
      <c r="BN53" s="2363"/>
      <c r="BO53" s="2363"/>
    </row>
    <row r="54" spans="1:67" s="1160" customFormat="1" ht="63" customHeight="1" thickBot="1">
      <c r="A54" s="2571"/>
      <c r="B54" s="2571"/>
      <c r="C54" s="2573"/>
      <c r="D54" s="1992" t="s">
        <v>2528</v>
      </c>
      <c r="E54" s="2005" t="s">
        <v>2529</v>
      </c>
      <c r="F54" s="2006">
        <v>3</v>
      </c>
      <c r="G54" s="2448" t="s">
        <v>2530</v>
      </c>
      <c r="H54" s="2450" t="s">
        <v>1120</v>
      </c>
      <c r="I54" s="2453">
        <v>0.166</v>
      </c>
      <c r="J54" s="2005" t="s">
        <v>2529</v>
      </c>
      <c r="K54" s="1997">
        <v>42095</v>
      </c>
      <c r="L54" s="1997">
        <v>42369</v>
      </c>
      <c r="M54" s="1998"/>
      <c r="N54" s="1998"/>
      <c r="O54" s="1998"/>
      <c r="P54" s="1998">
        <v>1</v>
      </c>
      <c r="Q54" s="1998"/>
      <c r="R54" s="1999"/>
      <c r="S54" s="1999"/>
      <c r="T54" s="1999">
        <v>1</v>
      </c>
      <c r="U54" s="2000"/>
      <c r="V54" s="2000"/>
      <c r="W54" s="2000"/>
      <c r="X54" s="2001">
        <v>1</v>
      </c>
      <c r="Y54" s="2002">
        <v>3</v>
      </c>
      <c r="Z54" s="2003"/>
      <c r="AA54" s="2004"/>
      <c r="AB54" s="1282"/>
      <c r="AC54" s="1640"/>
      <c r="AD54" s="1444"/>
      <c r="AE54" s="1640"/>
      <c r="AF54" s="1640"/>
      <c r="AG54" s="1640"/>
      <c r="AH54" s="1282"/>
      <c r="AI54" s="805"/>
      <c r="AJ54" s="805"/>
      <c r="AK54" s="805"/>
      <c r="AL54" s="1925"/>
      <c r="AM54" s="1934"/>
      <c r="AN54" s="1925"/>
      <c r="AO54" s="1934"/>
      <c r="AP54" s="1934"/>
      <c r="AQ54" s="1934"/>
      <c r="AR54" s="1916"/>
      <c r="AS54" s="1916"/>
      <c r="AT54" s="1927"/>
      <c r="AU54" s="1916"/>
      <c r="AV54" s="2270">
        <f t="shared" si="36"/>
        <v>1</v>
      </c>
      <c r="AW54" s="2273">
        <f t="shared" si="26"/>
        <v>1</v>
      </c>
      <c r="AX54" s="1979" t="s">
        <v>1090</v>
      </c>
      <c r="AY54" s="2273" t="s">
        <v>1090</v>
      </c>
      <c r="AZ54" s="2273" t="s">
        <v>1090</v>
      </c>
      <c r="BA54" s="2273" t="s">
        <v>1090</v>
      </c>
      <c r="BB54" s="2304">
        <v>0</v>
      </c>
      <c r="BC54" s="2270" t="s">
        <v>1090</v>
      </c>
      <c r="BD54" s="2279"/>
      <c r="BE54" s="2279"/>
      <c r="BF54" s="2360">
        <f t="shared" si="37"/>
        <v>2</v>
      </c>
      <c r="BG54" s="2361">
        <f t="shared" si="27"/>
        <v>1</v>
      </c>
      <c r="BH54" s="2360">
        <v>2</v>
      </c>
      <c r="BI54" s="2361">
        <v>1</v>
      </c>
      <c r="BJ54" s="2361"/>
      <c r="BK54" s="2361">
        <f>BH54/Y54</f>
        <v>0.6666666666666666</v>
      </c>
      <c r="BL54" s="2362"/>
      <c r="BM54" s="2360"/>
      <c r="BN54" s="2363"/>
      <c r="BO54" s="2363"/>
    </row>
    <row r="55" spans="1:67" s="1160" customFormat="1" ht="63" customHeight="1" thickBot="1">
      <c r="A55" s="2572"/>
      <c r="B55" s="2572"/>
      <c r="C55" s="2574"/>
      <c r="D55" s="1992" t="s">
        <v>2531</v>
      </c>
      <c r="E55" s="2005" t="s">
        <v>2532</v>
      </c>
      <c r="F55" s="2006">
        <v>1</v>
      </c>
      <c r="G55" s="2448" t="s">
        <v>2533</v>
      </c>
      <c r="H55" s="2450" t="s">
        <v>1120</v>
      </c>
      <c r="I55" s="2453">
        <v>0.166</v>
      </c>
      <c r="J55" s="2005" t="s">
        <v>2534</v>
      </c>
      <c r="K55" s="1997">
        <v>42005</v>
      </c>
      <c r="L55" s="1997">
        <v>42369</v>
      </c>
      <c r="M55" s="1998"/>
      <c r="N55" s="1998"/>
      <c r="O55" s="1998"/>
      <c r="P55" s="1998"/>
      <c r="Q55" s="1998"/>
      <c r="R55" s="1999"/>
      <c r="S55" s="1999"/>
      <c r="T55" s="1999"/>
      <c r="U55" s="2000"/>
      <c r="V55" s="2000"/>
      <c r="W55" s="2000"/>
      <c r="X55" s="2001">
        <v>1</v>
      </c>
      <c r="Y55" s="2009">
        <v>1</v>
      </c>
      <c r="Z55" s="2003"/>
      <c r="AA55" s="2004"/>
      <c r="AB55" s="1282"/>
      <c r="AC55" s="1640"/>
      <c r="AD55" s="1444"/>
      <c r="AE55" s="1640"/>
      <c r="AF55" s="1640"/>
      <c r="AG55" s="1640"/>
      <c r="AH55" s="1282"/>
      <c r="AI55" s="805"/>
      <c r="AJ55" s="805"/>
      <c r="AK55" s="805"/>
      <c r="AL55" s="1925"/>
      <c r="AM55" s="1934"/>
      <c r="AN55" s="1925"/>
      <c r="AO55" s="1934"/>
      <c r="AP55" s="1934"/>
      <c r="AQ55" s="1934"/>
      <c r="AR55" s="1916"/>
      <c r="AS55" s="1916"/>
      <c r="AT55" s="1927"/>
      <c r="AU55" s="1916"/>
      <c r="AV55" s="2270">
        <f t="shared" si="36"/>
        <v>0</v>
      </c>
      <c r="AW55" s="2273">
        <f t="shared" si="26"/>
        <v>0</v>
      </c>
      <c r="AX55" s="1979" t="s">
        <v>1090</v>
      </c>
      <c r="AY55" s="2273" t="s">
        <v>1090</v>
      </c>
      <c r="AZ55" s="2273" t="s">
        <v>1090</v>
      </c>
      <c r="BA55" s="2273" t="s">
        <v>1090</v>
      </c>
      <c r="BB55" s="2304">
        <v>0</v>
      </c>
      <c r="BC55" s="2270" t="s">
        <v>1090</v>
      </c>
      <c r="BD55" s="2279"/>
      <c r="BE55" s="2279"/>
      <c r="BF55" s="2360">
        <f t="shared" si="37"/>
        <v>0</v>
      </c>
      <c r="BG55" s="2361">
        <f t="shared" si="27"/>
        <v>0</v>
      </c>
      <c r="BH55" s="2360" t="s">
        <v>1090</v>
      </c>
      <c r="BI55" s="2361" t="s">
        <v>1090</v>
      </c>
      <c r="BJ55" s="2361"/>
      <c r="BK55" s="2361">
        <v>0</v>
      </c>
      <c r="BL55" s="2362"/>
      <c r="BM55" s="2360"/>
      <c r="BN55" s="2363"/>
      <c r="BO55" s="2363"/>
    </row>
    <row r="56" spans="1:67" s="1181" customFormat="1" ht="20.1" customHeight="1" thickBot="1">
      <c r="A56" s="2565" t="s">
        <v>130</v>
      </c>
      <c r="B56" s="2565"/>
      <c r="C56" s="2565"/>
      <c r="D56" s="2565"/>
      <c r="E56" s="848"/>
      <c r="F56" s="2449"/>
      <c r="G56" s="848"/>
      <c r="H56" s="848"/>
      <c r="I56" s="2452">
        <f>SUM(I50)</f>
        <v>1</v>
      </c>
      <c r="J56" s="848"/>
      <c r="K56" s="848"/>
      <c r="L56" s="848"/>
      <c r="M56" s="848"/>
      <c r="N56" s="848"/>
      <c r="O56" s="848"/>
      <c r="P56" s="848"/>
      <c r="Q56" s="848"/>
      <c r="R56" s="848"/>
      <c r="S56" s="848"/>
      <c r="T56" s="848"/>
      <c r="U56" s="848"/>
      <c r="V56" s="848"/>
      <c r="W56" s="848"/>
      <c r="X56" s="848"/>
      <c r="Y56" s="865"/>
      <c r="Z56" s="847">
        <f>SUM(Z50)</f>
        <v>0</v>
      </c>
      <c r="AA56" s="846"/>
      <c r="AB56" s="1480"/>
      <c r="AC56" s="1481" t="s">
        <v>1090</v>
      </c>
      <c r="AD56" s="1603"/>
      <c r="AE56" s="1482" t="s">
        <v>1090</v>
      </c>
      <c r="AF56" s="1482"/>
      <c r="AG56" s="1481" t="e">
        <f>AVERAGE(AG50)</f>
        <v>#DIV/0!</v>
      </c>
      <c r="AH56" s="1483"/>
      <c r="AI56" s="1484"/>
      <c r="AJ56" s="1484"/>
      <c r="AK56" s="1484"/>
      <c r="AL56" s="1935"/>
      <c r="AM56" s="1936">
        <f>AVERAGEIF(AM41:AM50,"&gt;0")</f>
        <v>1</v>
      </c>
      <c r="AN56" s="1935"/>
      <c r="AO56" s="1935" t="s">
        <v>1090</v>
      </c>
      <c r="AP56" s="1935"/>
      <c r="AQ56" s="1935" t="s">
        <v>1090</v>
      </c>
      <c r="AR56" s="1935"/>
      <c r="AS56" s="1935"/>
      <c r="AT56" s="1088"/>
      <c r="AU56" s="1088"/>
      <c r="AV56" s="1088"/>
      <c r="AW56" s="2283">
        <v>1</v>
      </c>
      <c r="AX56" s="1088"/>
      <c r="AY56" s="2291" t="s">
        <v>1090</v>
      </c>
      <c r="AZ56" s="1088"/>
      <c r="BA56" s="1088" t="s">
        <v>1090</v>
      </c>
      <c r="BB56" s="1088"/>
      <c r="BC56" s="1956"/>
      <c r="BD56" s="1956"/>
      <c r="BE56" s="1956"/>
      <c r="BF56" s="2324"/>
      <c r="BG56" s="2283">
        <v>1</v>
      </c>
      <c r="BH56" s="2324"/>
      <c r="BI56" s="2291">
        <f>AVERAGE(BI50:BI55)</f>
        <v>1</v>
      </c>
      <c r="BJ56" s="2324"/>
      <c r="BK56" s="2291">
        <f>AVERAGE(BK50:BK55)</f>
        <v>0.4333333333333333</v>
      </c>
      <c r="BL56" s="2324"/>
      <c r="BM56" s="2324"/>
      <c r="BN56" s="2324"/>
      <c r="BO56" s="2324"/>
    </row>
    <row r="57" spans="1:67" s="842" customFormat="1" ht="20.1" customHeight="1" thickBot="1">
      <c r="A57" s="2563" t="s">
        <v>290</v>
      </c>
      <c r="B57" s="2563"/>
      <c r="C57" s="2563"/>
      <c r="D57" s="2563"/>
      <c r="E57" s="1090"/>
      <c r="F57" s="1091"/>
      <c r="G57" s="1091"/>
      <c r="H57" s="1091"/>
      <c r="I57" s="1091"/>
      <c r="J57" s="1091"/>
      <c r="K57" s="1091"/>
      <c r="L57" s="1091"/>
      <c r="M57" s="1091"/>
      <c r="N57" s="1091"/>
      <c r="O57" s="1091"/>
      <c r="P57" s="1091"/>
      <c r="Q57" s="1091"/>
      <c r="R57" s="1091"/>
      <c r="S57" s="1091"/>
      <c r="T57" s="1091"/>
      <c r="U57" s="1091"/>
      <c r="V57" s="1091"/>
      <c r="W57" s="1091"/>
      <c r="X57" s="1091"/>
      <c r="Y57" s="1091"/>
      <c r="Z57" s="1092">
        <f>SUM(Z56,Z49)</f>
        <v>0</v>
      </c>
      <c r="AA57" s="1093"/>
      <c r="AB57" s="1485"/>
      <c r="AC57" s="1486">
        <f>AVERAGE(AC56,AC49)</f>
        <v>1</v>
      </c>
      <c r="AD57" s="1604"/>
      <c r="AE57" s="1486">
        <f>AVERAGE(AE56,AE49)</f>
        <v>1</v>
      </c>
      <c r="AF57" s="1487"/>
      <c r="AG57" s="1486">
        <f>AVERAGE(AG49)</f>
        <v>0.1111111111111111</v>
      </c>
      <c r="AH57" s="1488"/>
      <c r="AI57" s="1489"/>
      <c r="AJ57" s="1489"/>
      <c r="AK57" s="1489"/>
      <c r="AL57" s="1476"/>
      <c r="AM57" s="1941">
        <f>AVERAGE(AM56,AM49)</f>
        <v>1</v>
      </c>
      <c r="AN57" s="1476"/>
      <c r="AO57" s="1941">
        <f>AVERAGE(AO56,AO49)</f>
        <v>1</v>
      </c>
      <c r="AP57" s="1476"/>
      <c r="AQ57" s="1941">
        <f>AVERAGE(AQ56,AQ49)</f>
        <v>0.3033333333333334</v>
      </c>
      <c r="AR57" s="1476"/>
      <c r="AS57" s="843"/>
      <c r="AT57" s="843"/>
      <c r="AU57" s="843"/>
      <c r="AV57" s="843"/>
      <c r="AW57" s="2284">
        <v>1</v>
      </c>
      <c r="AX57" s="843"/>
      <c r="AY57" s="2261">
        <f>AVERAGE(AY56,AY49)</f>
        <v>1</v>
      </c>
      <c r="AZ57" s="843"/>
      <c r="BA57" s="2262">
        <f>AVERAGE(BA56,BA49)</f>
        <v>0.5</v>
      </c>
      <c r="BB57" s="843"/>
      <c r="BC57" s="843"/>
      <c r="BD57" s="843"/>
      <c r="BE57" s="843"/>
      <c r="BF57" s="843"/>
      <c r="BG57" s="2284">
        <v>1</v>
      </c>
      <c r="BH57" s="843"/>
      <c r="BI57" s="2261">
        <f>AVERAGE(BI56,BI49)</f>
        <v>1</v>
      </c>
      <c r="BJ57" s="843"/>
      <c r="BK57" s="2262">
        <f>AVERAGE(BK56,BK49)</f>
        <v>0.5222222222222221</v>
      </c>
      <c r="BL57" s="843"/>
      <c r="BM57" s="843"/>
      <c r="BN57" s="843"/>
      <c r="BO57" s="843"/>
    </row>
    <row r="58" spans="1:67" s="833" customFormat="1" ht="20.1" customHeight="1" thickBot="1">
      <c r="A58" s="841"/>
      <c r="B58" s="840"/>
      <c r="C58" s="835"/>
      <c r="D58" s="835"/>
      <c r="E58" s="835"/>
      <c r="F58" s="1182"/>
      <c r="G58" s="835"/>
      <c r="H58" s="835"/>
      <c r="I58" s="838"/>
      <c r="J58" s="835"/>
      <c r="K58" s="837"/>
      <c r="L58" s="837"/>
      <c r="M58" s="835"/>
      <c r="N58" s="835"/>
      <c r="O58" s="835"/>
      <c r="P58" s="835"/>
      <c r="Q58" s="835"/>
      <c r="R58" s="835"/>
      <c r="S58" s="835"/>
      <c r="T58" s="835"/>
      <c r="U58" s="835"/>
      <c r="V58" s="835"/>
      <c r="W58" s="835"/>
      <c r="X58" s="835"/>
      <c r="Y58" s="835"/>
      <c r="Z58" s="836" t="e">
        <f>SUM(Z57,Z38)</f>
        <v>#REF!</v>
      </c>
      <c r="AA58" s="835"/>
      <c r="AB58" s="1490"/>
      <c r="AC58" s="1491">
        <f>AVERAGE(AC57,AC38)</f>
        <v>1</v>
      </c>
      <c r="AD58" s="1605"/>
      <c r="AE58" s="1491">
        <f>AVERAGE(AE57,AE38)</f>
        <v>0.8846153846153846</v>
      </c>
      <c r="AF58" s="1492"/>
      <c r="AG58" s="1491">
        <f>AVERAGE(AG57,AG38)</f>
        <v>0.0718954248366013</v>
      </c>
      <c r="AH58" s="1490"/>
      <c r="AI58" s="1492"/>
      <c r="AJ58" s="1492"/>
      <c r="AK58" s="1492"/>
      <c r="AL58" s="1942"/>
      <c r="AM58" s="1943">
        <f>AVERAGE(AM57,AM38)</f>
        <v>1</v>
      </c>
      <c r="AN58" s="1942"/>
      <c r="AO58" s="1943">
        <f>AVERAGE(AO57,AO38)</f>
        <v>1</v>
      </c>
      <c r="AP58" s="1942"/>
      <c r="AQ58" s="1943">
        <f>AVERAGE(AQ57,AQ38)</f>
        <v>0.17944444444444446</v>
      </c>
      <c r="AR58" s="834"/>
      <c r="AS58" s="834"/>
      <c r="AT58" s="834"/>
      <c r="AU58" s="834"/>
      <c r="AV58" s="834"/>
      <c r="AW58" s="2294">
        <v>1</v>
      </c>
      <c r="AX58" s="834"/>
      <c r="AY58" s="2265">
        <f>AVERAGE(AY57,AY38)</f>
        <v>1</v>
      </c>
      <c r="AZ58" s="834"/>
      <c r="BA58" s="2265">
        <f>AVERAGE(BA57,BA38)</f>
        <v>0.3194444444444444</v>
      </c>
      <c r="BB58" s="834"/>
      <c r="BC58" s="834"/>
      <c r="BD58" s="834"/>
      <c r="BE58" s="834"/>
      <c r="BF58" s="834"/>
      <c r="BG58" s="2294">
        <v>1</v>
      </c>
      <c r="BH58" s="834"/>
      <c r="BI58" s="2265">
        <f>AVERAGE(BI57,BI38)</f>
        <v>1</v>
      </c>
      <c r="BJ58" s="834"/>
      <c r="BK58" s="2265">
        <f>AVERAGE(BK57,BK38)</f>
        <v>0.3305555555555555</v>
      </c>
      <c r="BL58" s="834"/>
      <c r="BM58" s="834"/>
      <c r="BN58" s="834"/>
      <c r="BO58" s="834"/>
    </row>
    <row r="59" spans="26:63" ht="18.75">
      <c r="Z59" s="832"/>
      <c r="BK59" s="2512"/>
    </row>
    <row r="60" ht="15">
      <c r="AP60" s="830" t="s">
        <v>1787</v>
      </c>
    </row>
  </sheetData>
  <sheetProtection selectLockedCells="1" selectUnlockedCells="1"/>
  <mergeCells count="60">
    <mergeCell ref="BF5:BO9"/>
    <mergeCell ref="BF11:BO11"/>
    <mergeCell ref="BF13:BO13"/>
    <mergeCell ref="BO16:BO18"/>
    <mergeCell ref="BF40:BO40"/>
    <mergeCell ref="A56:D56"/>
    <mergeCell ref="A57:D57"/>
    <mergeCell ref="A41:AA41"/>
    <mergeCell ref="A43:A48"/>
    <mergeCell ref="B43:B48"/>
    <mergeCell ref="C43:C44"/>
    <mergeCell ref="C45:C48"/>
    <mergeCell ref="A49:D49"/>
    <mergeCell ref="A50:A55"/>
    <mergeCell ref="B50:B55"/>
    <mergeCell ref="C50:C55"/>
    <mergeCell ref="AB40:AK40"/>
    <mergeCell ref="AL40:AU40"/>
    <mergeCell ref="AV40:BE40"/>
    <mergeCell ref="A26:D26"/>
    <mergeCell ref="A27:A34"/>
    <mergeCell ref="B27:B34"/>
    <mergeCell ref="C27:C29"/>
    <mergeCell ref="C30:C31"/>
    <mergeCell ref="C32:C34"/>
    <mergeCell ref="D33:D34"/>
    <mergeCell ref="A35:D35"/>
    <mergeCell ref="A37:D37"/>
    <mergeCell ref="A38:D38"/>
    <mergeCell ref="A39:AA39"/>
    <mergeCell ref="A40:D40"/>
    <mergeCell ref="E40:AA40"/>
    <mergeCell ref="AL11:AU11"/>
    <mergeCell ref="A16:A25"/>
    <mergeCell ref="B16:B25"/>
    <mergeCell ref="A9:AA9"/>
    <mergeCell ref="A11:D11"/>
    <mergeCell ref="E11:AA11"/>
    <mergeCell ref="AB11:AK11"/>
    <mergeCell ref="C20:C21"/>
    <mergeCell ref="A13:D13"/>
    <mergeCell ref="E13:AA13"/>
    <mergeCell ref="AB13:AK13"/>
    <mergeCell ref="AL13:AU13"/>
    <mergeCell ref="A1:C4"/>
    <mergeCell ref="D1:BB2"/>
    <mergeCell ref="D3:BB4"/>
    <mergeCell ref="BE16:BE18"/>
    <mergeCell ref="C16:C18"/>
    <mergeCell ref="AV5:BE9"/>
    <mergeCell ref="AV11:BE11"/>
    <mergeCell ref="AV13:BE13"/>
    <mergeCell ref="A6:AA6"/>
    <mergeCell ref="A7:AA7"/>
    <mergeCell ref="AB7:AK9"/>
    <mergeCell ref="AL7:AU9"/>
    <mergeCell ref="A5:AA5"/>
    <mergeCell ref="AB5:AK6"/>
    <mergeCell ref="AL5:AU6"/>
    <mergeCell ref="A8:AA8"/>
  </mergeCells>
  <printOptions horizontalCentered="1" verticalCentered="1"/>
  <pageMargins left="0.39375" right="0.39375" top="0.39375" bottom="0.39375" header="0.5118055555555555" footer="0.5118055555555555"/>
  <pageSetup horizontalDpi="300" verticalDpi="300" orientation="landscape" scale="50" r:id="rId4"/>
  <drawing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0"/>
  <sheetViews>
    <sheetView tabSelected="1" zoomScale="80" zoomScaleNormal="80" workbookViewId="0" topLeftCell="L61">
      <selection activeCell="BL70" sqref="BL70"/>
    </sheetView>
  </sheetViews>
  <sheetFormatPr defaultColWidth="11.421875" defaultRowHeight="15"/>
  <cols>
    <col min="1" max="1" width="6.421875" style="1782" customWidth="1"/>
    <col min="2" max="2" width="21.140625" style="1" customWidth="1"/>
    <col min="3" max="3" width="29.28125" style="1782" customWidth="1"/>
    <col min="4" max="4" width="25.28125" style="1782" customWidth="1"/>
    <col min="5" max="5" width="14.28125" style="1782" customWidth="1"/>
    <col min="6" max="6" width="14.57421875" style="1782" customWidth="1"/>
    <col min="7" max="7" width="16.57421875" style="1782" customWidth="1"/>
    <col min="8" max="8" width="18.00390625" style="1782" customWidth="1"/>
    <col min="9" max="9" width="14.140625" style="1782" customWidth="1"/>
    <col min="10" max="10" width="39.140625" style="1782" customWidth="1"/>
    <col min="11" max="11" width="10.7109375" style="1782" customWidth="1"/>
    <col min="12" max="12" width="11.28125" style="1782" customWidth="1"/>
    <col min="13" max="24" width="4.57421875" style="1782" customWidth="1"/>
    <col min="25" max="25" width="17.28125" style="1341" customWidth="1"/>
    <col min="26" max="26" width="20.7109375" style="1782" customWidth="1"/>
    <col min="27" max="27" width="22.140625" style="1782" customWidth="1"/>
    <col min="28" max="28" width="11.421875" style="1782" hidden="1" customWidth="1"/>
    <col min="29" max="29" width="14.28125" style="1571" hidden="1" customWidth="1"/>
    <col min="30" max="30" width="11.421875" style="1520" hidden="1" customWidth="1"/>
    <col min="31" max="32" width="11.421875" style="1369" hidden="1" customWidth="1"/>
    <col min="33" max="33" width="13.28125" style="1369" hidden="1" customWidth="1"/>
    <col min="34" max="36" width="11.421875" style="1782" hidden="1" customWidth="1"/>
    <col min="37" max="37" width="34.28125" style="1782" hidden="1" customWidth="1"/>
    <col min="38" max="38" width="22.28125" style="1782" hidden="1" customWidth="1"/>
    <col min="39" max="46" width="11.421875" style="1782" hidden="1" customWidth="1"/>
    <col min="47" max="47" width="25.8515625" style="1782" hidden="1" customWidth="1"/>
    <col min="48" max="48" width="26.8515625" style="1782" hidden="1" customWidth="1"/>
    <col min="49" max="53" width="11.421875" style="1782" hidden="1" customWidth="1"/>
    <col min="54" max="54" width="22.00390625" style="1782" hidden="1" customWidth="1"/>
    <col min="55" max="55" width="14.7109375" style="1782" hidden="1" customWidth="1"/>
    <col min="56" max="56" width="15.8515625" style="1782" hidden="1" customWidth="1"/>
    <col min="57" max="57" width="43.57421875" style="1782" hidden="1" customWidth="1"/>
    <col min="58" max="58" width="22.28125" style="1782" hidden="1" customWidth="1"/>
    <col min="59" max="16384" width="11.421875" style="1782" customWidth="1"/>
  </cols>
  <sheetData>
    <row r="1" spans="1:55"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row>
    <row r="2" spans="1:55"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row>
    <row r="3" spans="1:55"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row>
    <row r="4" spans="1:55"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708"/>
      <c r="AX4" s="2708"/>
      <c r="AY4" s="2708"/>
      <c r="AZ4" s="2708"/>
      <c r="BA4" s="2708"/>
      <c r="BB4" s="2708"/>
      <c r="BC4" s="2708"/>
    </row>
    <row r="5" spans="1:68"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840" t="s">
        <v>2486</v>
      </c>
      <c r="AX5" s="2841"/>
      <c r="AY5" s="2841"/>
      <c r="AZ5" s="2841"/>
      <c r="BA5" s="2841"/>
      <c r="BB5" s="2841"/>
      <c r="BC5" s="2841"/>
      <c r="BD5" s="2841"/>
      <c r="BE5" s="2841"/>
      <c r="BF5" s="2842"/>
      <c r="BG5" s="2861" t="s">
        <v>4</v>
      </c>
      <c r="BH5" s="2862"/>
      <c r="BI5" s="2862"/>
      <c r="BJ5" s="2862"/>
      <c r="BK5" s="2862"/>
      <c r="BL5" s="2862"/>
      <c r="BM5" s="2862"/>
      <c r="BN5" s="2862"/>
      <c r="BO5" s="2862"/>
      <c r="BP5" s="2863"/>
    </row>
    <row r="6" spans="1:68"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843"/>
      <c r="AX6" s="2844"/>
      <c r="AY6" s="2844"/>
      <c r="AZ6" s="2844"/>
      <c r="BA6" s="2844"/>
      <c r="BB6" s="2844"/>
      <c r="BC6" s="2844"/>
      <c r="BD6" s="2844"/>
      <c r="BE6" s="2844"/>
      <c r="BF6" s="2845"/>
      <c r="BG6" s="2864"/>
      <c r="BH6" s="2865"/>
      <c r="BI6" s="2865"/>
      <c r="BJ6" s="2865"/>
      <c r="BK6" s="2865"/>
      <c r="BL6" s="2865"/>
      <c r="BM6" s="2865"/>
      <c r="BN6" s="2865"/>
      <c r="BO6" s="2865"/>
      <c r="BP6" s="2866"/>
    </row>
    <row r="7" spans="1:68"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2452</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843"/>
      <c r="AX7" s="2844"/>
      <c r="AY7" s="2844"/>
      <c r="AZ7" s="2844"/>
      <c r="BA7" s="2844"/>
      <c r="BB7" s="2844"/>
      <c r="BC7" s="2844"/>
      <c r="BD7" s="2844"/>
      <c r="BE7" s="2844"/>
      <c r="BF7" s="2845"/>
      <c r="BG7" s="2867" t="s">
        <v>2986</v>
      </c>
      <c r="BH7" s="2868"/>
      <c r="BI7" s="2868"/>
      <c r="BJ7" s="2868"/>
      <c r="BK7" s="2868"/>
      <c r="BL7" s="2868"/>
      <c r="BM7" s="2868"/>
      <c r="BN7" s="2868"/>
      <c r="BO7" s="2868"/>
      <c r="BP7" s="2869"/>
    </row>
    <row r="8" spans="1:68"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843"/>
      <c r="AX8" s="2844"/>
      <c r="AY8" s="2844"/>
      <c r="AZ8" s="2844"/>
      <c r="BA8" s="2844"/>
      <c r="BB8" s="2844"/>
      <c r="BC8" s="2844"/>
      <c r="BD8" s="2844"/>
      <c r="BE8" s="2844"/>
      <c r="BF8" s="2845"/>
      <c r="BG8" s="2867"/>
      <c r="BH8" s="2868"/>
      <c r="BI8" s="2868"/>
      <c r="BJ8" s="2868"/>
      <c r="BK8" s="2868"/>
      <c r="BL8" s="2868"/>
      <c r="BM8" s="2868"/>
      <c r="BN8" s="2868"/>
      <c r="BO8" s="2868"/>
      <c r="BP8" s="2869"/>
    </row>
    <row r="9" spans="1:68"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846"/>
      <c r="AX9" s="2847"/>
      <c r="AY9" s="2847"/>
      <c r="AZ9" s="2847"/>
      <c r="BA9" s="2847"/>
      <c r="BB9" s="2847"/>
      <c r="BC9" s="2847"/>
      <c r="BD9" s="2847"/>
      <c r="BE9" s="2847"/>
      <c r="BF9" s="2848"/>
      <c r="BG9" s="2870"/>
      <c r="BH9" s="2871"/>
      <c r="BI9" s="2871"/>
      <c r="BJ9" s="2871"/>
      <c r="BK9" s="2871"/>
      <c r="BL9" s="2871"/>
      <c r="BM9" s="2871"/>
      <c r="BN9" s="2871"/>
      <c r="BO9" s="2871"/>
      <c r="BP9" s="2872"/>
    </row>
    <row r="10" spans="1:68" ht="9" customHeight="1" thickBot="1">
      <c r="A10" s="3"/>
      <c r="B10" s="4"/>
      <c r="C10" s="3"/>
      <c r="D10" s="3"/>
      <c r="E10" s="3"/>
      <c r="F10" s="237"/>
      <c r="G10" s="3"/>
      <c r="H10" s="3"/>
      <c r="I10" s="238"/>
      <c r="J10" s="3"/>
      <c r="K10" s="239"/>
      <c r="L10" s="239"/>
      <c r="M10" s="3"/>
      <c r="N10" s="3"/>
      <c r="O10" s="3"/>
      <c r="P10" s="3"/>
      <c r="Q10" s="3"/>
      <c r="R10" s="3"/>
      <c r="S10" s="3"/>
      <c r="T10" s="3"/>
      <c r="U10" s="3"/>
      <c r="V10" s="3"/>
      <c r="W10" s="3"/>
      <c r="X10" s="3"/>
      <c r="Y10" s="240"/>
      <c r="Z10" s="241"/>
      <c r="AA10" s="3"/>
      <c r="AB10" s="1339"/>
      <c r="AC10" s="1563"/>
      <c r="AD10" s="1505"/>
      <c r="AE10" s="1306"/>
      <c r="AF10" s="1306"/>
      <c r="AG10" s="1306"/>
      <c r="AH10" s="1339"/>
      <c r="AI10" s="1339"/>
      <c r="AJ10" s="1339"/>
      <c r="AK10" s="1339"/>
      <c r="AL10" s="1339"/>
      <c r="AM10"/>
      <c r="AN10"/>
      <c r="AO10"/>
      <c r="AP10"/>
      <c r="AQ10"/>
      <c r="AR10"/>
      <c r="AS10"/>
      <c r="AT10"/>
      <c r="AU10"/>
      <c r="AV10"/>
      <c r="AW10"/>
      <c r="AX10"/>
      <c r="AY10"/>
      <c r="AZ10"/>
      <c r="BA10"/>
      <c r="BB10"/>
      <c r="BC10"/>
      <c r="BG10"/>
      <c r="BH10"/>
      <c r="BI10"/>
      <c r="BJ10"/>
      <c r="BK10"/>
      <c r="BL10"/>
      <c r="BM10"/>
      <c r="BN10"/>
      <c r="BO10"/>
      <c r="BP10"/>
    </row>
    <row r="11" spans="1:68" s="3" customFormat="1" ht="21" customHeight="1" thickBot="1">
      <c r="A11" s="2641" t="s">
        <v>7</v>
      </c>
      <c r="B11" s="2641"/>
      <c r="C11" s="2641"/>
      <c r="D11" s="2641"/>
      <c r="E11" s="2642" t="s">
        <v>627</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37" t="s">
        <v>627</v>
      </c>
      <c r="AC11" s="2637"/>
      <c r="AD11" s="2637"/>
      <c r="AE11" s="2637"/>
      <c r="AF11" s="2637"/>
      <c r="AG11" s="2637"/>
      <c r="AH11" s="2637"/>
      <c r="AI11" s="2637"/>
      <c r="AJ11" s="2637"/>
      <c r="AK11" s="2637"/>
      <c r="AL11" s="2637"/>
      <c r="AM11" s="2637" t="s">
        <v>627</v>
      </c>
      <c r="AN11" s="2637"/>
      <c r="AO11" s="2637"/>
      <c r="AP11" s="2637"/>
      <c r="AQ11" s="2637"/>
      <c r="AR11" s="2637"/>
      <c r="AS11" s="2637"/>
      <c r="AT11" s="2637"/>
      <c r="AU11" s="2637"/>
      <c r="AV11" s="2637"/>
      <c r="AW11" s="2642" t="s">
        <v>627</v>
      </c>
      <c r="AX11" s="2643"/>
      <c r="AY11" s="2643"/>
      <c r="AZ11" s="2643"/>
      <c r="BA11" s="2643"/>
      <c r="BB11" s="2643"/>
      <c r="BC11" s="2643"/>
      <c r="BD11" s="2643"/>
      <c r="BE11" s="2643"/>
      <c r="BF11" s="2644"/>
      <c r="BG11" s="2637" t="s">
        <v>627</v>
      </c>
      <c r="BH11" s="2637"/>
      <c r="BI11" s="2637"/>
      <c r="BJ11" s="2637"/>
      <c r="BK11" s="2637"/>
      <c r="BL11" s="2637"/>
      <c r="BM11" s="2637"/>
      <c r="BN11" s="2637"/>
      <c r="BO11" s="2637"/>
      <c r="BP11" s="2637"/>
    </row>
    <row r="12" spans="2:38" s="13" customFormat="1" ht="9.95" customHeight="1" thickBot="1">
      <c r="B12" s="14"/>
      <c r="F12" s="243"/>
      <c r="I12" s="244"/>
      <c r="K12" s="245"/>
      <c r="L12" s="245"/>
      <c r="Y12" s="246"/>
      <c r="Z12" s="247"/>
      <c r="AB12" s="1340"/>
      <c r="AC12" s="1564"/>
      <c r="AD12" s="1506"/>
      <c r="AE12" s="1307"/>
      <c r="AF12" s="1307"/>
      <c r="AG12" s="1307"/>
      <c r="AH12" s="1340"/>
      <c r="AI12" s="1340"/>
      <c r="AJ12" s="1340"/>
      <c r="AK12" s="1340"/>
      <c r="AL12" s="1340"/>
    </row>
    <row r="13" spans="1:68" s="4" customFormat="1" ht="21" customHeight="1" thickBot="1">
      <c r="A13" s="2645" t="s">
        <v>9</v>
      </c>
      <c r="B13" s="2646"/>
      <c r="C13" s="2646"/>
      <c r="D13" s="2647"/>
      <c r="E13" s="2648" t="s">
        <v>554</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51" t="s">
        <v>554</v>
      </c>
      <c r="AC13" s="2651"/>
      <c r="AD13" s="2651"/>
      <c r="AE13" s="2651"/>
      <c r="AF13" s="2651"/>
      <c r="AG13" s="2651"/>
      <c r="AH13" s="2651"/>
      <c r="AI13" s="2651"/>
      <c r="AJ13" s="2651"/>
      <c r="AK13" s="2651"/>
      <c r="AL13" s="2651"/>
      <c r="AM13" s="2651" t="s">
        <v>554</v>
      </c>
      <c r="AN13" s="2651"/>
      <c r="AO13" s="2651"/>
      <c r="AP13" s="2651"/>
      <c r="AQ13" s="2651"/>
      <c r="AR13" s="2651"/>
      <c r="AS13" s="2651"/>
      <c r="AT13" s="2651"/>
      <c r="AU13" s="2651"/>
      <c r="AV13" s="2651"/>
      <c r="AW13" s="2648" t="s">
        <v>554</v>
      </c>
      <c r="AX13" s="2649"/>
      <c r="AY13" s="2649"/>
      <c r="AZ13" s="2649"/>
      <c r="BA13" s="2649"/>
      <c r="BB13" s="2649"/>
      <c r="BC13" s="2649"/>
      <c r="BD13" s="2649"/>
      <c r="BE13" s="2649"/>
      <c r="BF13" s="2650"/>
      <c r="BG13" s="2651" t="s">
        <v>554</v>
      </c>
      <c r="BH13" s="2651"/>
      <c r="BI13" s="2651"/>
      <c r="BJ13" s="2651"/>
      <c r="BK13" s="2651"/>
      <c r="BL13" s="2651"/>
      <c r="BM13" s="2651"/>
      <c r="BN13" s="2651"/>
      <c r="BO13" s="2651"/>
      <c r="BP13" s="2651"/>
    </row>
    <row r="14" spans="2:38" s="13" customFormat="1" ht="9.95" customHeight="1" thickBot="1">
      <c r="B14" s="14"/>
      <c r="F14" s="243"/>
      <c r="I14" s="244"/>
      <c r="K14" s="245"/>
      <c r="L14" s="245"/>
      <c r="Y14" s="246"/>
      <c r="Z14" s="247"/>
      <c r="AB14" s="1340"/>
      <c r="AC14" s="1564"/>
      <c r="AD14" s="1506"/>
      <c r="AE14" s="1307"/>
      <c r="AF14" s="1307"/>
      <c r="AG14" s="1307"/>
      <c r="AH14" s="1340"/>
      <c r="AI14" s="1340"/>
      <c r="AJ14" s="1340"/>
      <c r="AK14" s="1340"/>
      <c r="AL14" s="1340"/>
    </row>
    <row r="15" spans="1:68" s="35" customFormat="1" ht="39" thickBot="1">
      <c r="A15" s="22" t="s">
        <v>11</v>
      </c>
      <c r="B15" s="23" t="s">
        <v>12</v>
      </c>
      <c r="C15" s="22" t="s">
        <v>13</v>
      </c>
      <c r="D15" s="249" t="s">
        <v>14</v>
      </c>
      <c r="E15" s="24" t="s">
        <v>15</v>
      </c>
      <c r="F15" s="25" t="s">
        <v>16</v>
      </c>
      <c r="G15" s="26" t="s">
        <v>17</v>
      </c>
      <c r="H15" s="26" t="s">
        <v>18</v>
      </c>
      <c r="I15" s="27" t="s">
        <v>19</v>
      </c>
      <c r="J15" s="26" t="s">
        <v>20</v>
      </c>
      <c r="K15" s="26" t="s">
        <v>21</v>
      </c>
      <c r="L15" s="26" t="s">
        <v>22</v>
      </c>
      <c r="M15" s="28" t="s">
        <v>23</v>
      </c>
      <c r="N15" s="28" t="s">
        <v>24</v>
      </c>
      <c r="O15" s="28" t="s">
        <v>25</v>
      </c>
      <c r="P15" s="28" t="s">
        <v>26</v>
      </c>
      <c r="Q15" s="28" t="s">
        <v>27</v>
      </c>
      <c r="R15" s="28" t="s">
        <v>28</v>
      </c>
      <c r="S15" s="28" t="s">
        <v>29</v>
      </c>
      <c r="T15" s="28" t="s">
        <v>30</v>
      </c>
      <c r="U15" s="28" t="s">
        <v>31</v>
      </c>
      <c r="V15" s="28" t="s">
        <v>32</v>
      </c>
      <c r="W15" s="28" t="s">
        <v>33</v>
      </c>
      <c r="X15" s="28" t="s">
        <v>34</v>
      </c>
      <c r="Y15" s="29" t="s">
        <v>35</v>
      </c>
      <c r="Z15" s="26" t="s">
        <v>36</v>
      </c>
      <c r="AA15" s="31" t="s">
        <v>37</v>
      </c>
      <c r="AB15" s="1322" t="s">
        <v>38</v>
      </c>
      <c r="AC15" s="1631" t="s">
        <v>1781</v>
      </c>
      <c r="AD15" s="1508" t="s">
        <v>39</v>
      </c>
      <c r="AE15" s="1614" t="s">
        <v>1821</v>
      </c>
      <c r="AF15" s="1614" t="s">
        <v>1822</v>
      </c>
      <c r="AG15" s="1613" t="s">
        <v>1783</v>
      </c>
      <c r="AH15" s="1322" t="s">
        <v>40</v>
      </c>
      <c r="AI15" s="1322" t="s">
        <v>41</v>
      </c>
      <c r="AJ15" s="1322" t="s">
        <v>42</v>
      </c>
      <c r="AK15" s="1322" t="s">
        <v>43</v>
      </c>
      <c r="AL15" s="1322" t="s">
        <v>44</v>
      </c>
      <c r="AM15" s="33" t="s">
        <v>45</v>
      </c>
      <c r="AN15" s="33" t="s">
        <v>1781</v>
      </c>
      <c r="AO15" s="33" t="s">
        <v>46</v>
      </c>
      <c r="AP15" s="33" t="s">
        <v>2193</v>
      </c>
      <c r="AQ15" s="33" t="s">
        <v>1822</v>
      </c>
      <c r="AR15" s="33" t="s">
        <v>2194</v>
      </c>
      <c r="AS15" s="33" t="s">
        <v>41</v>
      </c>
      <c r="AT15" s="33" t="s">
        <v>42</v>
      </c>
      <c r="AU15" s="33" t="s">
        <v>43</v>
      </c>
      <c r="AV15" s="33" t="s">
        <v>44</v>
      </c>
      <c r="AW15" s="1983" t="s">
        <v>47</v>
      </c>
      <c r="AX15" s="1983" t="s">
        <v>1781</v>
      </c>
      <c r="AY15" s="1983" t="s">
        <v>48</v>
      </c>
      <c r="AZ15" s="1983" t="s">
        <v>2453</v>
      </c>
      <c r="BA15" s="1983" t="s">
        <v>1822</v>
      </c>
      <c r="BB15" s="1983" t="s">
        <v>2489</v>
      </c>
      <c r="BC15" s="1983" t="s">
        <v>41</v>
      </c>
      <c r="BD15" s="1983" t="s">
        <v>42</v>
      </c>
      <c r="BE15" s="1983" t="s">
        <v>43</v>
      </c>
      <c r="BF15" s="1983" t="s">
        <v>44</v>
      </c>
      <c r="BG15" s="2079" t="s">
        <v>49</v>
      </c>
      <c r="BH15" s="2079" t="s">
        <v>1781</v>
      </c>
      <c r="BI15" s="2079" t="s">
        <v>50</v>
      </c>
      <c r="BJ15" s="2079" t="s">
        <v>2946</v>
      </c>
      <c r="BK15" s="2079" t="s">
        <v>1822</v>
      </c>
      <c r="BL15" s="2079" t="s">
        <v>2858</v>
      </c>
      <c r="BM15" s="2079" t="s">
        <v>41</v>
      </c>
      <c r="BN15" s="2079" t="s">
        <v>42</v>
      </c>
      <c r="BO15" s="2079" t="s">
        <v>43</v>
      </c>
      <c r="BP15" s="2079" t="s">
        <v>44</v>
      </c>
    </row>
    <row r="16" spans="1:68" s="49" customFormat="1" ht="79.9" customHeight="1" thickBot="1">
      <c r="A16" s="2658">
        <v>1</v>
      </c>
      <c r="B16" s="2658" t="s">
        <v>628</v>
      </c>
      <c r="C16" s="2656" t="s">
        <v>629</v>
      </c>
      <c r="D16" s="2874" t="s">
        <v>630</v>
      </c>
      <c r="E16" s="309" t="s">
        <v>54</v>
      </c>
      <c r="F16" s="309" t="s">
        <v>100</v>
      </c>
      <c r="G16" s="309" t="s">
        <v>631</v>
      </c>
      <c r="H16" s="309" t="s">
        <v>632</v>
      </c>
      <c r="I16" s="310">
        <f>100%/13</f>
        <v>0.07692307692307693</v>
      </c>
      <c r="J16" s="309" t="s">
        <v>633</v>
      </c>
      <c r="K16" s="67">
        <v>42006</v>
      </c>
      <c r="L16" s="67">
        <v>42369</v>
      </c>
      <c r="M16" s="114"/>
      <c r="N16" s="114"/>
      <c r="O16" s="114"/>
      <c r="P16" s="114"/>
      <c r="Q16" s="114"/>
      <c r="R16" s="115"/>
      <c r="S16" s="115"/>
      <c r="T16" s="114"/>
      <c r="U16" s="115"/>
      <c r="V16" s="115"/>
      <c r="W16" s="115"/>
      <c r="X16" s="115"/>
      <c r="Y16" s="121" t="s">
        <v>100</v>
      </c>
      <c r="Z16" s="75">
        <v>0</v>
      </c>
      <c r="AA16" s="493" t="s">
        <v>1090</v>
      </c>
      <c r="AB16" s="1378" t="s">
        <v>100</v>
      </c>
      <c r="AC16" s="1371">
        <f>IF(AB16=0,0%,100%)</f>
        <v>1</v>
      </c>
      <c r="AD16" s="1509">
        <v>0</v>
      </c>
      <c r="AE16" s="1311" t="s">
        <v>1090</v>
      </c>
      <c r="AF16" s="1311">
        <v>0</v>
      </c>
      <c r="AG16" s="1311">
        <f>AF16</f>
        <v>0</v>
      </c>
      <c r="AH16" s="1371" t="e">
        <f>AD16/AB16</f>
        <v>#VALUE!</v>
      </c>
      <c r="AI16" s="1378"/>
      <c r="AJ16" s="1371"/>
      <c r="AK16" s="1378" t="s">
        <v>2403</v>
      </c>
      <c r="AL16" s="1378"/>
      <c r="AM16" s="1692">
        <f aca="true" t="shared" si="0" ref="AM16:AM28">SUM(M16:P16)</f>
        <v>0</v>
      </c>
      <c r="AN16" s="1699">
        <f>IF(AM16=0,0%,100%)</f>
        <v>0</v>
      </c>
      <c r="AO16" s="1697">
        <v>0</v>
      </c>
      <c r="AP16" s="1699" t="s">
        <v>1090</v>
      </c>
      <c r="AQ16" s="1699" t="s">
        <v>1090</v>
      </c>
      <c r="AR16" s="1699" t="s">
        <v>1090</v>
      </c>
      <c r="AS16" s="1743">
        <v>0</v>
      </c>
      <c r="AT16" s="1692"/>
      <c r="AU16" s="1692" t="s">
        <v>2404</v>
      </c>
      <c r="AV16" s="1692"/>
      <c r="AW16" s="2200">
        <f aca="true" t="shared" si="1" ref="AW16:AW28">SUM(M16:R16)</f>
        <v>0</v>
      </c>
      <c r="AX16" s="2201">
        <f>IF(AW16=0,0%,100%)</f>
        <v>0</v>
      </c>
      <c r="AY16" s="2200" t="s">
        <v>1090</v>
      </c>
      <c r="AZ16" s="2201" t="s">
        <v>1090</v>
      </c>
      <c r="BA16" s="2200"/>
      <c r="BB16" s="2201" t="s">
        <v>1090</v>
      </c>
      <c r="BC16" s="2202">
        <v>0</v>
      </c>
      <c r="BD16" s="2200" t="s">
        <v>1090</v>
      </c>
      <c r="BE16" s="2084" t="s">
        <v>2754</v>
      </c>
      <c r="BF16" s="2084"/>
      <c r="BG16" s="2474">
        <f>SUM(M16:T16)</f>
        <v>0</v>
      </c>
      <c r="BH16" s="2475">
        <f>IF(BG16=0,0%,100%)</f>
        <v>0</v>
      </c>
      <c r="BI16" s="2476" t="s">
        <v>1090</v>
      </c>
      <c r="BJ16" s="2475" t="s">
        <v>1090</v>
      </c>
      <c r="BK16" s="2475"/>
      <c r="BL16" s="2475" t="s">
        <v>1090</v>
      </c>
      <c r="BM16" s="2477"/>
      <c r="BN16" s="2474"/>
      <c r="BO16" s="2474"/>
      <c r="BP16" s="2474"/>
    </row>
    <row r="17" spans="1:68" s="49" customFormat="1" ht="59.25" customHeight="1" thickBot="1">
      <c r="A17" s="2655"/>
      <c r="B17" s="2655"/>
      <c r="C17" s="2657"/>
      <c r="D17" s="2875"/>
      <c r="E17" s="309" t="s">
        <v>54</v>
      </c>
      <c r="F17" s="309" t="s">
        <v>634</v>
      </c>
      <c r="G17" s="309" t="s">
        <v>635</v>
      </c>
      <c r="H17" s="309" t="s">
        <v>632</v>
      </c>
      <c r="I17" s="310">
        <f aca="true" t="shared" si="2" ref="I17:I28">100%/13</f>
        <v>0.07692307692307693</v>
      </c>
      <c r="J17" s="309" t="s">
        <v>636</v>
      </c>
      <c r="K17" s="67">
        <v>42006</v>
      </c>
      <c r="L17" s="67">
        <v>42369</v>
      </c>
      <c r="M17" s="125"/>
      <c r="N17" s="125"/>
      <c r="O17" s="125"/>
      <c r="P17" s="125"/>
      <c r="Q17" s="125"/>
      <c r="R17" s="126"/>
      <c r="S17" s="126"/>
      <c r="T17" s="125"/>
      <c r="U17" s="126"/>
      <c r="V17" s="126"/>
      <c r="W17" s="126"/>
      <c r="X17" s="126"/>
      <c r="Y17" s="309" t="s">
        <v>634</v>
      </c>
      <c r="Z17" s="75">
        <v>0</v>
      </c>
      <c r="AA17" s="493" t="s">
        <v>1090</v>
      </c>
      <c r="AB17" s="1378" t="s">
        <v>634</v>
      </c>
      <c r="AC17" s="1371">
        <f aca="true" t="shared" si="3" ref="AC17:AC28">IF(AB17=0,0%,100%)</f>
        <v>1</v>
      </c>
      <c r="AD17" s="1509">
        <v>0</v>
      </c>
      <c r="AE17" s="1311" t="s">
        <v>1090</v>
      </c>
      <c r="AF17" s="1311" t="s">
        <v>1090</v>
      </c>
      <c r="AG17" s="1311">
        <v>0</v>
      </c>
      <c r="AH17" s="1371" t="e">
        <f aca="true" t="shared" si="4" ref="AH17:AH28">AD17/AB17</f>
        <v>#VALUE!</v>
      </c>
      <c r="AI17" s="1378"/>
      <c r="AJ17" s="1371"/>
      <c r="AK17" s="1378" t="s">
        <v>2403</v>
      </c>
      <c r="AL17" s="1378"/>
      <c r="AM17" s="1692">
        <f t="shared" si="0"/>
        <v>0</v>
      </c>
      <c r="AN17" s="1699">
        <f aca="true" t="shared" si="5" ref="AN17:AN28">IF(AM17=0,0%,100%)</f>
        <v>0</v>
      </c>
      <c r="AO17" s="1697">
        <v>0</v>
      </c>
      <c r="AP17" s="1699" t="s">
        <v>1090</v>
      </c>
      <c r="AQ17" s="1699" t="s">
        <v>1090</v>
      </c>
      <c r="AR17" s="1699" t="s">
        <v>1090</v>
      </c>
      <c r="AS17" s="1743">
        <v>0</v>
      </c>
      <c r="AT17" s="1692"/>
      <c r="AU17" s="1692" t="s">
        <v>2404</v>
      </c>
      <c r="AV17" s="1692"/>
      <c r="AW17" s="2200">
        <f t="shared" si="1"/>
        <v>0</v>
      </c>
      <c r="AX17" s="2201">
        <f aca="true" t="shared" si="6" ref="AX17:AX28">IF(AW17=0,0%,100%)</f>
        <v>0</v>
      </c>
      <c r="AY17" s="2200" t="s">
        <v>1090</v>
      </c>
      <c r="AZ17" s="2201" t="s">
        <v>1090</v>
      </c>
      <c r="BA17" s="2200"/>
      <c r="BB17" s="2201" t="s">
        <v>1090</v>
      </c>
      <c r="BC17" s="2202">
        <v>0</v>
      </c>
      <c r="BD17" s="2200" t="s">
        <v>1090</v>
      </c>
      <c r="BE17" s="2084" t="s">
        <v>2755</v>
      </c>
      <c r="BF17" s="2084"/>
      <c r="BG17" s="2474">
        <f aca="true" t="shared" si="7" ref="BG17:BG28">SUM(M17:T17)</f>
        <v>0</v>
      </c>
      <c r="BH17" s="2475">
        <f aca="true" t="shared" si="8" ref="BH17:BH28">IF(BG17=0,0%,100%)</f>
        <v>0</v>
      </c>
      <c r="BI17" s="2476" t="s">
        <v>1090</v>
      </c>
      <c r="BJ17" s="2475" t="s">
        <v>1090</v>
      </c>
      <c r="BK17" s="2475"/>
      <c r="BL17" s="2475" t="s">
        <v>1090</v>
      </c>
      <c r="BM17" s="2477"/>
      <c r="BN17" s="2474"/>
      <c r="BO17" s="2474"/>
      <c r="BP17" s="2474"/>
    </row>
    <row r="18" spans="1:68" s="49" customFormat="1" ht="46.5" customHeight="1" thickBot="1">
      <c r="A18" s="2655"/>
      <c r="B18" s="2655"/>
      <c r="C18" s="2657"/>
      <c r="D18" s="94" t="s">
        <v>637</v>
      </c>
      <c r="E18" s="309" t="s">
        <v>54</v>
      </c>
      <c r="F18" s="309">
        <v>12</v>
      </c>
      <c r="G18" s="309" t="s">
        <v>631</v>
      </c>
      <c r="H18" s="309" t="s">
        <v>632</v>
      </c>
      <c r="I18" s="310">
        <f t="shared" si="2"/>
        <v>0.07692307692307693</v>
      </c>
      <c r="J18" s="309" t="s">
        <v>638</v>
      </c>
      <c r="K18" s="67">
        <v>42006</v>
      </c>
      <c r="L18" s="67">
        <v>42369</v>
      </c>
      <c r="M18" s="125">
        <v>1</v>
      </c>
      <c r="N18" s="125">
        <v>1</v>
      </c>
      <c r="O18" s="125">
        <v>1</v>
      </c>
      <c r="P18" s="125">
        <v>1</v>
      </c>
      <c r="Q18" s="125">
        <v>1</v>
      </c>
      <c r="R18" s="126">
        <v>1</v>
      </c>
      <c r="S18" s="126">
        <v>1</v>
      </c>
      <c r="T18" s="125">
        <v>1</v>
      </c>
      <c r="U18" s="126">
        <v>1</v>
      </c>
      <c r="V18" s="126">
        <v>1</v>
      </c>
      <c r="W18" s="126">
        <v>1</v>
      </c>
      <c r="X18" s="126">
        <v>1</v>
      </c>
      <c r="Y18" s="311">
        <f aca="true" t="shared" si="9" ref="Y18:Y20">+SUM(M18:X18)</f>
        <v>12</v>
      </c>
      <c r="Z18" s="75">
        <v>0</v>
      </c>
      <c r="AA18" s="493" t="s">
        <v>1090</v>
      </c>
      <c r="AB18" s="1378">
        <f>SUM(M18:N18)</f>
        <v>2</v>
      </c>
      <c r="AC18" s="1371">
        <f t="shared" si="3"/>
        <v>1</v>
      </c>
      <c r="AD18" s="1509">
        <v>2</v>
      </c>
      <c r="AE18" s="1311">
        <f aca="true" t="shared" si="10" ref="AE18:AE28">AD18/AB18</f>
        <v>1</v>
      </c>
      <c r="AF18" s="1311">
        <f>AD18/Y18</f>
        <v>0.16666666666666666</v>
      </c>
      <c r="AG18" s="1311">
        <f aca="true" t="shared" si="11" ref="AG18:AG28">AF18</f>
        <v>0.16666666666666666</v>
      </c>
      <c r="AH18" s="1371">
        <f t="shared" si="4"/>
        <v>1</v>
      </c>
      <c r="AI18" s="1378"/>
      <c r="AJ18" s="1371"/>
      <c r="AK18" s="1378"/>
      <c r="AL18" s="1378"/>
      <c r="AM18" s="1692">
        <f t="shared" si="0"/>
        <v>4</v>
      </c>
      <c r="AN18" s="1699">
        <f t="shared" si="5"/>
        <v>1</v>
      </c>
      <c r="AO18" s="1697">
        <v>2</v>
      </c>
      <c r="AP18" s="1699">
        <f aca="true" t="shared" si="12" ref="AP18:AP28">AO18/AM18</f>
        <v>0.5</v>
      </c>
      <c r="AQ18" s="1699">
        <f>AO18/Y18</f>
        <v>0.16666666666666666</v>
      </c>
      <c r="AR18" s="1699">
        <f aca="true" t="shared" si="13" ref="AR18:AR28">IF(AN18&gt;0,AP18,"-")</f>
        <v>0.5</v>
      </c>
      <c r="AS18" s="1743">
        <v>0</v>
      </c>
      <c r="AT18" s="1692"/>
      <c r="AU18" s="1692"/>
      <c r="AV18" s="1692"/>
      <c r="AW18" s="2200">
        <f t="shared" si="1"/>
        <v>6</v>
      </c>
      <c r="AX18" s="2201">
        <f t="shared" si="6"/>
        <v>1</v>
      </c>
      <c r="AY18" s="2200">
        <v>6</v>
      </c>
      <c r="AZ18" s="2201">
        <v>1</v>
      </c>
      <c r="BA18" s="2200"/>
      <c r="BB18" s="2201">
        <v>0.5</v>
      </c>
      <c r="BC18" s="2202">
        <v>0</v>
      </c>
      <c r="BD18" s="2200" t="s">
        <v>1090</v>
      </c>
      <c r="BE18" s="2084"/>
      <c r="BF18" s="2084"/>
      <c r="BG18" s="2474">
        <f t="shared" si="7"/>
        <v>8</v>
      </c>
      <c r="BH18" s="2475">
        <f t="shared" si="8"/>
        <v>1</v>
      </c>
      <c r="BI18" s="2476">
        <v>8</v>
      </c>
      <c r="BJ18" s="2475">
        <v>1</v>
      </c>
      <c r="BK18" s="2475"/>
      <c r="BL18" s="2475">
        <f>BI18/Y18</f>
        <v>0.6666666666666666</v>
      </c>
      <c r="BM18" s="2477"/>
      <c r="BN18" s="2474"/>
      <c r="BO18" s="2474"/>
      <c r="BP18" s="2474"/>
    </row>
    <row r="19" spans="1:68" s="49" customFormat="1" ht="46.5" customHeight="1" thickBot="1">
      <c r="A19" s="2655"/>
      <c r="B19" s="2655"/>
      <c r="C19" s="2657"/>
      <c r="D19" s="94" t="s">
        <v>639</v>
      </c>
      <c r="E19" s="309" t="s">
        <v>54</v>
      </c>
      <c r="F19" s="309">
        <v>4</v>
      </c>
      <c r="G19" s="309" t="s">
        <v>640</v>
      </c>
      <c r="H19" s="309" t="s">
        <v>641</v>
      </c>
      <c r="I19" s="310">
        <f t="shared" si="2"/>
        <v>0.07692307692307693</v>
      </c>
      <c r="J19" s="309" t="s">
        <v>642</v>
      </c>
      <c r="K19" s="67">
        <v>42037</v>
      </c>
      <c r="L19" s="67">
        <v>42369</v>
      </c>
      <c r="M19" s="125"/>
      <c r="N19" s="125">
        <v>1</v>
      </c>
      <c r="O19" s="125"/>
      <c r="P19" s="125"/>
      <c r="Q19" s="125">
        <v>1</v>
      </c>
      <c r="R19" s="126"/>
      <c r="S19" s="126"/>
      <c r="T19" s="125">
        <v>1</v>
      </c>
      <c r="U19" s="126"/>
      <c r="V19" s="126"/>
      <c r="W19" s="126">
        <v>1</v>
      </c>
      <c r="X19" s="126"/>
      <c r="Y19" s="311">
        <f t="shared" si="9"/>
        <v>4</v>
      </c>
      <c r="Z19" s="75">
        <v>0</v>
      </c>
      <c r="AA19" s="493" t="s">
        <v>1090</v>
      </c>
      <c r="AB19" s="1378">
        <f>SUM(M19:N19)</f>
        <v>1</v>
      </c>
      <c r="AC19" s="1371">
        <f t="shared" si="3"/>
        <v>1</v>
      </c>
      <c r="AD19" s="1509">
        <v>0</v>
      </c>
      <c r="AE19" s="1311">
        <f t="shared" si="10"/>
        <v>0</v>
      </c>
      <c r="AF19" s="1311">
        <f>AD19/Y19</f>
        <v>0</v>
      </c>
      <c r="AG19" s="1311">
        <f t="shared" si="11"/>
        <v>0</v>
      </c>
      <c r="AH19" s="1371">
        <f t="shared" si="4"/>
        <v>0</v>
      </c>
      <c r="AI19" s="1378"/>
      <c r="AJ19" s="1371"/>
      <c r="AK19" s="1378" t="s">
        <v>2405</v>
      </c>
      <c r="AL19" s="1378"/>
      <c r="AM19" s="1692">
        <f t="shared" si="0"/>
        <v>1</v>
      </c>
      <c r="AN19" s="1699">
        <f t="shared" si="5"/>
        <v>1</v>
      </c>
      <c r="AO19" s="1697">
        <v>0</v>
      </c>
      <c r="AP19" s="1699">
        <f t="shared" si="12"/>
        <v>0</v>
      </c>
      <c r="AQ19" s="1699">
        <f>AO19/Y19</f>
        <v>0</v>
      </c>
      <c r="AR19" s="1699">
        <f t="shared" si="13"/>
        <v>0</v>
      </c>
      <c r="AS19" s="1743">
        <v>0</v>
      </c>
      <c r="AT19" s="1692"/>
      <c r="AU19" s="1692" t="s">
        <v>2406</v>
      </c>
      <c r="AV19" s="1692"/>
      <c r="AW19" s="2200">
        <f t="shared" si="1"/>
        <v>2</v>
      </c>
      <c r="AX19" s="2201">
        <f t="shared" si="6"/>
        <v>1</v>
      </c>
      <c r="AY19" s="2200">
        <v>1</v>
      </c>
      <c r="AZ19" s="2201">
        <v>0.5</v>
      </c>
      <c r="BA19" s="2200"/>
      <c r="BB19" s="2201">
        <f>AY19/Y19</f>
        <v>0.25</v>
      </c>
      <c r="BC19" s="2202">
        <v>0</v>
      </c>
      <c r="BD19" s="2200" t="s">
        <v>1090</v>
      </c>
      <c r="BE19" s="2084" t="s">
        <v>2756</v>
      </c>
      <c r="BF19" s="2084"/>
      <c r="BG19" s="2474">
        <f t="shared" si="7"/>
        <v>3</v>
      </c>
      <c r="BH19" s="2475">
        <f t="shared" si="8"/>
        <v>1</v>
      </c>
      <c r="BI19" s="2476">
        <v>3</v>
      </c>
      <c r="BJ19" s="2475">
        <v>1</v>
      </c>
      <c r="BK19" s="2475"/>
      <c r="BL19" s="2475">
        <f>BI19/Y19</f>
        <v>0.75</v>
      </c>
      <c r="BM19" s="2477"/>
      <c r="BN19" s="2474"/>
      <c r="BO19" s="2474"/>
      <c r="BP19" s="2474"/>
    </row>
    <row r="20" spans="1:68" s="49" customFormat="1" ht="46.5" customHeight="1" thickBot="1">
      <c r="A20" s="2655"/>
      <c r="B20" s="2655"/>
      <c r="C20" s="2657"/>
      <c r="D20" s="94" t="s">
        <v>643</v>
      </c>
      <c r="E20" s="309" t="s">
        <v>54</v>
      </c>
      <c r="F20" s="309">
        <v>12</v>
      </c>
      <c r="G20" s="309" t="s">
        <v>644</v>
      </c>
      <c r="H20" s="309" t="s">
        <v>645</v>
      </c>
      <c r="I20" s="310">
        <f t="shared" si="2"/>
        <v>0.07692307692307693</v>
      </c>
      <c r="J20" s="309" t="s">
        <v>646</v>
      </c>
      <c r="K20" s="67">
        <v>42006</v>
      </c>
      <c r="L20" s="67">
        <v>42369</v>
      </c>
      <c r="M20" s="125">
        <v>1</v>
      </c>
      <c r="N20" s="125">
        <v>1</v>
      </c>
      <c r="O20" s="125">
        <v>1</v>
      </c>
      <c r="P20" s="125">
        <v>1</v>
      </c>
      <c r="Q20" s="125">
        <v>1</v>
      </c>
      <c r="R20" s="126">
        <v>1</v>
      </c>
      <c r="S20" s="126">
        <v>1</v>
      </c>
      <c r="T20" s="125">
        <v>1</v>
      </c>
      <c r="U20" s="126">
        <v>1</v>
      </c>
      <c r="V20" s="126">
        <v>1</v>
      </c>
      <c r="W20" s="126">
        <v>1</v>
      </c>
      <c r="X20" s="126">
        <v>1</v>
      </c>
      <c r="Y20" s="311">
        <f t="shared" si="9"/>
        <v>12</v>
      </c>
      <c r="Z20" s="75">
        <v>0</v>
      </c>
      <c r="AA20" s="493" t="s">
        <v>1090</v>
      </c>
      <c r="AB20" s="1378">
        <f>SUM(M20:N20)</f>
        <v>2</v>
      </c>
      <c r="AC20" s="1371">
        <f t="shared" si="3"/>
        <v>1</v>
      </c>
      <c r="AD20" s="1509">
        <v>2</v>
      </c>
      <c r="AE20" s="1311">
        <f t="shared" si="10"/>
        <v>1</v>
      </c>
      <c r="AF20" s="1311">
        <f>AD20/Y20</f>
        <v>0.16666666666666666</v>
      </c>
      <c r="AG20" s="1311">
        <f t="shared" si="11"/>
        <v>0.16666666666666666</v>
      </c>
      <c r="AH20" s="1371">
        <f t="shared" si="4"/>
        <v>1</v>
      </c>
      <c r="AI20" s="1378"/>
      <c r="AJ20" s="1371"/>
      <c r="AK20" s="1378"/>
      <c r="AL20" s="1378"/>
      <c r="AM20" s="1692">
        <f t="shared" si="0"/>
        <v>4</v>
      </c>
      <c r="AN20" s="1699">
        <f t="shared" si="5"/>
        <v>1</v>
      </c>
      <c r="AO20" s="1697">
        <v>2</v>
      </c>
      <c r="AP20" s="1699">
        <f t="shared" si="12"/>
        <v>0.5</v>
      </c>
      <c r="AQ20" s="1699">
        <f>AO20/Y20</f>
        <v>0.16666666666666666</v>
      </c>
      <c r="AR20" s="1699">
        <f t="shared" si="13"/>
        <v>0.5</v>
      </c>
      <c r="AS20" s="1743">
        <v>0</v>
      </c>
      <c r="AT20" s="1692"/>
      <c r="AU20" s="1692"/>
      <c r="AV20" s="1692"/>
      <c r="AW20" s="2200">
        <f t="shared" si="1"/>
        <v>6</v>
      </c>
      <c r="AX20" s="2201">
        <f t="shared" si="6"/>
        <v>1</v>
      </c>
      <c r="AY20" s="2200">
        <v>6</v>
      </c>
      <c r="AZ20" s="2201">
        <v>1</v>
      </c>
      <c r="BA20" s="2200"/>
      <c r="BB20" s="2201">
        <v>0.5</v>
      </c>
      <c r="BC20" s="2202">
        <v>0</v>
      </c>
      <c r="BD20" s="2200" t="s">
        <v>1090</v>
      </c>
      <c r="BE20" s="2084" t="s">
        <v>2757</v>
      </c>
      <c r="BF20" s="2084"/>
      <c r="BG20" s="2474">
        <f t="shared" si="7"/>
        <v>8</v>
      </c>
      <c r="BH20" s="2475">
        <f t="shared" si="8"/>
        <v>1</v>
      </c>
      <c r="BI20" s="2476">
        <v>8</v>
      </c>
      <c r="BJ20" s="2475">
        <v>1</v>
      </c>
      <c r="BK20" s="2475"/>
      <c r="BL20" s="2475">
        <f>BI20/Y20</f>
        <v>0.6666666666666666</v>
      </c>
      <c r="BM20" s="2477"/>
      <c r="BN20" s="2474"/>
      <c r="BO20" s="2474"/>
      <c r="BP20" s="2474"/>
    </row>
    <row r="21" spans="1:68" s="49" customFormat="1" ht="46.5" customHeight="1" thickBot="1">
      <c r="A21" s="2655"/>
      <c r="B21" s="2655"/>
      <c r="C21" s="2657"/>
      <c r="D21" s="94" t="s">
        <v>647</v>
      </c>
      <c r="E21" s="309" t="s">
        <v>54</v>
      </c>
      <c r="F21" s="309" t="s">
        <v>100</v>
      </c>
      <c r="G21" s="309" t="s">
        <v>648</v>
      </c>
      <c r="H21" s="309" t="s">
        <v>645</v>
      </c>
      <c r="I21" s="310">
        <f t="shared" si="2"/>
        <v>0.07692307692307693</v>
      </c>
      <c r="J21" s="309" t="s">
        <v>649</v>
      </c>
      <c r="K21" s="67">
        <v>42005</v>
      </c>
      <c r="L21" s="67">
        <v>42369</v>
      </c>
      <c r="M21" s="125"/>
      <c r="N21" s="125"/>
      <c r="O21" s="125"/>
      <c r="P21" s="125"/>
      <c r="Q21" s="125"/>
      <c r="R21" s="126"/>
      <c r="S21" s="126"/>
      <c r="T21" s="125"/>
      <c r="U21" s="126"/>
      <c r="V21" s="126"/>
      <c r="W21" s="126"/>
      <c r="X21" s="126"/>
      <c r="Y21" s="121" t="s">
        <v>100</v>
      </c>
      <c r="Z21" s="75">
        <v>0</v>
      </c>
      <c r="AA21" s="493" t="s">
        <v>1090</v>
      </c>
      <c r="AB21" s="1378" t="s">
        <v>100</v>
      </c>
      <c r="AC21" s="1371">
        <f t="shared" si="3"/>
        <v>1</v>
      </c>
      <c r="AD21" s="1509">
        <v>0</v>
      </c>
      <c r="AE21" s="1311" t="s">
        <v>1090</v>
      </c>
      <c r="AF21" s="1311" t="s">
        <v>1090</v>
      </c>
      <c r="AG21" s="1311">
        <v>0</v>
      </c>
      <c r="AH21" s="1371" t="e">
        <f t="shared" si="4"/>
        <v>#VALUE!</v>
      </c>
      <c r="AI21" s="1378"/>
      <c r="AJ21" s="1371"/>
      <c r="AK21" s="1378" t="s">
        <v>2407</v>
      </c>
      <c r="AL21" s="1378"/>
      <c r="AM21" s="1692">
        <f t="shared" si="0"/>
        <v>0</v>
      </c>
      <c r="AN21" s="1699">
        <f t="shared" si="5"/>
        <v>0</v>
      </c>
      <c r="AO21" s="1697">
        <v>0</v>
      </c>
      <c r="AP21" s="1699" t="s">
        <v>1090</v>
      </c>
      <c r="AQ21" s="1699" t="s">
        <v>1090</v>
      </c>
      <c r="AR21" s="1699" t="str">
        <f t="shared" si="13"/>
        <v>-</v>
      </c>
      <c r="AS21" s="1743">
        <v>0</v>
      </c>
      <c r="AT21" s="1692"/>
      <c r="AU21" s="1692"/>
      <c r="AV21" s="1692"/>
      <c r="AW21" s="2200">
        <f t="shared" si="1"/>
        <v>0</v>
      </c>
      <c r="AX21" s="2201">
        <f t="shared" si="6"/>
        <v>0</v>
      </c>
      <c r="AY21" s="2200" t="s">
        <v>1090</v>
      </c>
      <c r="AZ21" s="2201" t="s">
        <v>1090</v>
      </c>
      <c r="BA21" s="2200"/>
      <c r="BB21" s="2201" t="s">
        <v>1090</v>
      </c>
      <c r="BC21" s="2202">
        <v>0</v>
      </c>
      <c r="BD21" s="2200" t="s">
        <v>1090</v>
      </c>
      <c r="BE21" s="2084"/>
      <c r="BF21" s="2084"/>
      <c r="BG21" s="2474">
        <f t="shared" si="7"/>
        <v>0</v>
      </c>
      <c r="BH21" s="2475">
        <f t="shared" si="8"/>
        <v>0</v>
      </c>
      <c r="BI21" s="2476" t="s">
        <v>1090</v>
      </c>
      <c r="BJ21" s="2475" t="s">
        <v>1090</v>
      </c>
      <c r="BK21" s="2475"/>
      <c r="BL21" s="2475" t="s">
        <v>1090</v>
      </c>
      <c r="BM21" s="2477"/>
      <c r="BN21" s="2474"/>
      <c r="BO21" s="2474"/>
      <c r="BP21" s="2474"/>
    </row>
    <row r="22" spans="1:68" s="49" customFormat="1" ht="51.75" thickBot="1">
      <c r="A22" s="2655"/>
      <c r="B22" s="2655"/>
      <c r="C22" s="2657"/>
      <c r="D22" s="94" t="s">
        <v>650</v>
      </c>
      <c r="E22" s="309" t="s">
        <v>54</v>
      </c>
      <c r="F22" s="309" t="s">
        <v>100</v>
      </c>
      <c r="G22" s="309" t="s">
        <v>651</v>
      </c>
      <c r="H22" s="309" t="s">
        <v>2775</v>
      </c>
      <c r="I22" s="310">
        <f t="shared" si="2"/>
        <v>0.07692307692307693</v>
      </c>
      <c r="J22" s="309" t="s">
        <v>652</v>
      </c>
      <c r="K22" s="67">
        <v>42005</v>
      </c>
      <c r="L22" s="67">
        <v>42369</v>
      </c>
      <c r="M22" s="125"/>
      <c r="N22" s="125"/>
      <c r="O22" s="125"/>
      <c r="P22" s="125"/>
      <c r="Q22" s="125"/>
      <c r="R22" s="126"/>
      <c r="S22" s="126"/>
      <c r="T22" s="125"/>
      <c r="U22" s="126"/>
      <c r="V22" s="126"/>
      <c r="W22" s="126"/>
      <c r="X22" s="126"/>
      <c r="Y22" s="121" t="s">
        <v>100</v>
      </c>
      <c r="Z22" s="75">
        <v>0</v>
      </c>
      <c r="AA22" s="493" t="s">
        <v>1090</v>
      </c>
      <c r="AB22" s="1378" t="s">
        <v>100</v>
      </c>
      <c r="AC22" s="1371">
        <f t="shared" si="3"/>
        <v>1</v>
      </c>
      <c r="AD22" s="1509">
        <v>0</v>
      </c>
      <c r="AE22" s="1311" t="s">
        <v>1090</v>
      </c>
      <c r="AF22" s="1311" t="s">
        <v>1090</v>
      </c>
      <c r="AG22" s="1311">
        <v>0</v>
      </c>
      <c r="AH22" s="1371" t="e">
        <f t="shared" si="4"/>
        <v>#VALUE!</v>
      </c>
      <c r="AI22" s="1378"/>
      <c r="AJ22" s="1371"/>
      <c r="AK22" s="1378" t="s">
        <v>2408</v>
      </c>
      <c r="AL22" s="1378"/>
      <c r="AM22" s="1692">
        <f t="shared" si="0"/>
        <v>0</v>
      </c>
      <c r="AN22" s="1699">
        <f t="shared" si="5"/>
        <v>0</v>
      </c>
      <c r="AO22" s="1697">
        <v>0</v>
      </c>
      <c r="AP22" s="1699" t="s">
        <v>1090</v>
      </c>
      <c r="AQ22" s="1699" t="s">
        <v>1090</v>
      </c>
      <c r="AR22" s="1699" t="str">
        <f t="shared" si="13"/>
        <v>-</v>
      </c>
      <c r="AS22" s="1743">
        <v>0</v>
      </c>
      <c r="AT22" s="1692"/>
      <c r="AU22" s="1692"/>
      <c r="AV22" s="1692"/>
      <c r="AW22" s="2200">
        <f t="shared" si="1"/>
        <v>0</v>
      </c>
      <c r="AX22" s="2201">
        <f t="shared" si="6"/>
        <v>0</v>
      </c>
      <c r="AY22" s="2200" t="s">
        <v>1090</v>
      </c>
      <c r="AZ22" s="2201" t="s">
        <v>1090</v>
      </c>
      <c r="BA22" s="2200"/>
      <c r="BB22" s="2201" t="s">
        <v>1090</v>
      </c>
      <c r="BC22" s="2202">
        <v>0</v>
      </c>
      <c r="BD22" s="2200" t="s">
        <v>1090</v>
      </c>
      <c r="BE22" s="2084" t="s">
        <v>2774</v>
      </c>
      <c r="BF22" s="2084"/>
      <c r="BG22" s="2474">
        <f t="shared" si="7"/>
        <v>0</v>
      </c>
      <c r="BH22" s="2475">
        <f t="shared" si="8"/>
        <v>0</v>
      </c>
      <c r="BI22" s="2476" t="s">
        <v>1090</v>
      </c>
      <c r="BJ22" s="2475" t="s">
        <v>1090</v>
      </c>
      <c r="BK22" s="2475"/>
      <c r="BL22" s="2475" t="s">
        <v>1090</v>
      </c>
      <c r="BM22" s="2477"/>
      <c r="BN22" s="2474"/>
      <c r="BO22" s="2474"/>
      <c r="BP22" s="2474"/>
    </row>
    <row r="23" spans="1:68" s="49" customFormat="1" ht="39" thickBot="1">
      <c r="A23" s="2655"/>
      <c r="B23" s="2655"/>
      <c r="C23" s="2657"/>
      <c r="D23" s="94" t="s">
        <v>653</v>
      </c>
      <c r="E23" s="309" t="s">
        <v>54</v>
      </c>
      <c r="F23" s="309" t="s">
        <v>100</v>
      </c>
      <c r="G23" s="309" t="s">
        <v>654</v>
      </c>
      <c r="H23" s="309" t="s">
        <v>2775</v>
      </c>
      <c r="I23" s="310">
        <f t="shared" si="2"/>
        <v>0.07692307692307693</v>
      </c>
      <c r="J23" s="309" t="s">
        <v>655</v>
      </c>
      <c r="K23" s="67">
        <v>42005</v>
      </c>
      <c r="L23" s="67">
        <v>42369</v>
      </c>
      <c r="M23" s="125"/>
      <c r="N23" s="125"/>
      <c r="O23" s="125"/>
      <c r="P23" s="125"/>
      <c r="Q23" s="125"/>
      <c r="R23" s="126"/>
      <c r="S23" s="126"/>
      <c r="T23" s="125"/>
      <c r="U23" s="126"/>
      <c r="V23" s="126"/>
      <c r="W23" s="126"/>
      <c r="X23" s="126"/>
      <c r="Y23" s="121" t="s">
        <v>100</v>
      </c>
      <c r="Z23" s="75">
        <v>0</v>
      </c>
      <c r="AA23" s="493" t="s">
        <v>1090</v>
      </c>
      <c r="AB23" s="1378" t="s">
        <v>100</v>
      </c>
      <c r="AC23" s="1371">
        <f t="shared" si="3"/>
        <v>1</v>
      </c>
      <c r="AD23" s="1509">
        <v>0</v>
      </c>
      <c r="AE23" s="1311" t="s">
        <v>1090</v>
      </c>
      <c r="AF23" s="1311" t="s">
        <v>1090</v>
      </c>
      <c r="AG23" s="1311">
        <v>0</v>
      </c>
      <c r="AH23" s="1371" t="e">
        <f t="shared" si="4"/>
        <v>#VALUE!</v>
      </c>
      <c r="AI23" s="1378"/>
      <c r="AJ23" s="1371"/>
      <c r="AK23" s="1378" t="s">
        <v>2409</v>
      </c>
      <c r="AL23" s="1378"/>
      <c r="AM23" s="1692">
        <f t="shared" si="0"/>
        <v>0</v>
      </c>
      <c r="AN23" s="1699">
        <f t="shared" si="5"/>
        <v>0</v>
      </c>
      <c r="AO23" s="1697">
        <v>0</v>
      </c>
      <c r="AP23" s="1699" t="s">
        <v>1090</v>
      </c>
      <c r="AQ23" s="1699" t="s">
        <v>1090</v>
      </c>
      <c r="AR23" s="1699" t="str">
        <f t="shared" si="13"/>
        <v>-</v>
      </c>
      <c r="AS23" s="1743">
        <v>0</v>
      </c>
      <c r="AT23" s="1692"/>
      <c r="AU23" s="1692"/>
      <c r="AV23" s="1692"/>
      <c r="AW23" s="2200">
        <f t="shared" si="1"/>
        <v>0</v>
      </c>
      <c r="AX23" s="2201">
        <f t="shared" si="6"/>
        <v>0</v>
      </c>
      <c r="AY23" s="2200" t="s">
        <v>1090</v>
      </c>
      <c r="AZ23" s="2201" t="s">
        <v>1090</v>
      </c>
      <c r="BA23" s="2200"/>
      <c r="BB23" s="2201" t="s">
        <v>1090</v>
      </c>
      <c r="BC23" s="2202">
        <v>0</v>
      </c>
      <c r="BD23" s="2200" t="s">
        <v>1090</v>
      </c>
      <c r="BE23" s="2084" t="s">
        <v>2761</v>
      </c>
      <c r="BF23" s="2084"/>
      <c r="BG23" s="2474">
        <f t="shared" si="7"/>
        <v>0</v>
      </c>
      <c r="BH23" s="2475">
        <f t="shared" si="8"/>
        <v>0</v>
      </c>
      <c r="BI23" s="2476" t="s">
        <v>1090</v>
      </c>
      <c r="BJ23" s="2475" t="s">
        <v>1090</v>
      </c>
      <c r="BK23" s="2475"/>
      <c r="BL23" s="2475" t="s">
        <v>1090</v>
      </c>
      <c r="BM23" s="2477"/>
      <c r="BN23" s="2474"/>
      <c r="BO23" s="2474"/>
      <c r="BP23" s="2474"/>
    </row>
    <row r="24" spans="1:68" s="49" customFormat="1" ht="39" thickBot="1">
      <c r="A24" s="2655"/>
      <c r="B24" s="2655"/>
      <c r="C24" s="2657"/>
      <c r="D24" s="94" t="s">
        <v>656</v>
      </c>
      <c r="E24" s="309" t="s">
        <v>54</v>
      </c>
      <c r="F24" s="309">
        <v>12</v>
      </c>
      <c r="G24" s="309" t="s">
        <v>657</v>
      </c>
      <c r="H24" s="309" t="s">
        <v>1789</v>
      </c>
      <c r="I24" s="310">
        <f t="shared" si="2"/>
        <v>0.07692307692307693</v>
      </c>
      <c r="J24" s="309" t="s">
        <v>658</v>
      </c>
      <c r="K24" s="67">
        <v>42005</v>
      </c>
      <c r="L24" s="67">
        <v>42369</v>
      </c>
      <c r="M24" s="125">
        <v>1</v>
      </c>
      <c r="N24" s="125">
        <v>1</v>
      </c>
      <c r="O24" s="125">
        <v>1</v>
      </c>
      <c r="P24" s="125">
        <v>1</v>
      </c>
      <c r="Q24" s="125">
        <v>1</v>
      </c>
      <c r="R24" s="126">
        <v>1</v>
      </c>
      <c r="S24" s="126">
        <v>1</v>
      </c>
      <c r="T24" s="125">
        <v>1</v>
      </c>
      <c r="U24" s="126">
        <v>1</v>
      </c>
      <c r="V24" s="126">
        <v>1</v>
      </c>
      <c r="W24" s="126">
        <v>1</v>
      </c>
      <c r="X24" s="126">
        <v>1</v>
      </c>
      <c r="Y24" s="311">
        <f aca="true" t="shared" si="14" ref="Y24:Y28">+SUM(M24:X24)</f>
        <v>12</v>
      </c>
      <c r="Z24" s="75">
        <v>0</v>
      </c>
      <c r="AA24" s="493" t="s">
        <v>1090</v>
      </c>
      <c r="AB24" s="1378">
        <f>SUM(M24:N24)</f>
        <v>2</v>
      </c>
      <c r="AC24" s="1371">
        <f t="shared" si="3"/>
        <v>1</v>
      </c>
      <c r="AD24" s="1509">
        <v>2</v>
      </c>
      <c r="AE24" s="1311">
        <f t="shared" si="10"/>
        <v>1</v>
      </c>
      <c r="AF24" s="1311">
        <f>AD24/Y24</f>
        <v>0.16666666666666666</v>
      </c>
      <c r="AG24" s="1311">
        <f t="shared" si="11"/>
        <v>0.16666666666666666</v>
      </c>
      <c r="AH24" s="1371">
        <f t="shared" si="4"/>
        <v>1</v>
      </c>
      <c r="AI24" s="1378"/>
      <c r="AJ24" s="1371"/>
      <c r="AK24" s="1378"/>
      <c r="AL24" s="1378"/>
      <c r="AM24" s="1692">
        <f t="shared" si="0"/>
        <v>4</v>
      </c>
      <c r="AN24" s="1699">
        <f t="shared" si="5"/>
        <v>1</v>
      </c>
      <c r="AO24" s="1697">
        <v>2</v>
      </c>
      <c r="AP24" s="1699">
        <f t="shared" si="12"/>
        <v>0.5</v>
      </c>
      <c r="AQ24" s="1699">
        <f>AO24/Y24</f>
        <v>0.16666666666666666</v>
      </c>
      <c r="AR24" s="1699">
        <f t="shared" si="13"/>
        <v>0.5</v>
      </c>
      <c r="AS24" s="1743">
        <v>0</v>
      </c>
      <c r="AT24" s="1692"/>
      <c r="AU24" s="1692"/>
      <c r="AV24" s="1692"/>
      <c r="AW24" s="2200">
        <f t="shared" si="1"/>
        <v>6</v>
      </c>
      <c r="AX24" s="2201">
        <f t="shared" si="6"/>
        <v>1</v>
      </c>
      <c r="AY24" s="2200">
        <v>6</v>
      </c>
      <c r="AZ24" s="2201">
        <v>1</v>
      </c>
      <c r="BA24" s="2200"/>
      <c r="BB24" s="2201">
        <v>0.5</v>
      </c>
      <c r="BC24" s="2202">
        <v>0</v>
      </c>
      <c r="BD24" s="2200" t="s">
        <v>1090</v>
      </c>
      <c r="BE24" s="2084"/>
      <c r="BF24" s="2084"/>
      <c r="BG24" s="2474">
        <f t="shared" si="7"/>
        <v>8</v>
      </c>
      <c r="BH24" s="2475">
        <f t="shared" si="8"/>
        <v>1</v>
      </c>
      <c r="BI24" s="2476">
        <v>8</v>
      </c>
      <c r="BJ24" s="2475">
        <v>1</v>
      </c>
      <c r="BK24" s="2475"/>
      <c r="BL24" s="2475">
        <f>BI24/Y24</f>
        <v>0.6666666666666666</v>
      </c>
      <c r="BM24" s="2477"/>
      <c r="BN24" s="2474"/>
      <c r="BO24" s="2474"/>
      <c r="BP24" s="2474"/>
    </row>
    <row r="25" spans="1:68" s="49" customFormat="1" ht="31.5" customHeight="1" thickBot="1">
      <c r="A25" s="2655"/>
      <c r="B25" s="2655"/>
      <c r="C25" s="2657"/>
      <c r="D25" s="94" t="s">
        <v>659</v>
      </c>
      <c r="E25" s="309" t="s">
        <v>54</v>
      </c>
      <c r="F25" s="309">
        <v>12</v>
      </c>
      <c r="G25" s="309" t="s">
        <v>657</v>
      </c>
      <c r="H25" s="309" t="s">
        <v>660</v>
      </c>
      <c r="I25" s="310">
        <f t="shared" si="2"/>
        <v>0.07692307692307693</v>
      </c>
      <c r="J25" s="309" t="s">
        <v>661</v>
      </c>
      <c r="K25" s="67">
        <v>42005</v>
      </c>
      <c r="L25" s="67">
        <v>42369</v>
      </c>
      <c r="M25" s="125">
        <v>1</v>
      </c>
      <c r="N25" s="125">
        <v>1</v>
      </c>
      <c r="O25" s="125">
        <v>1</v>
      </c>
      <c r="P25" s="125">
        <v>1</v>
      </c>
      <c r="Q25" s="125">
        <v>1</v>
      </c>
      <c r="R25" s="126">
        <v>1</v>
      </c>
      <c r="S25" s="126">
        <v>1</v>
      </c>
      <c r="T25" s="125">
        <v>1</v>
      </c>
      <c r="U25" s="126">
        <v>1</v>
      </c>
      <c r="V25" s="126">
        <v>1</v>
      </c>
      <c r="W25" s="126">
        <v>1</v>
      </c>
      <c r="X25" s="126">
        <v>1</v>
      </c>
      <c r="Y25" s="311">
        <f t="shared" si="14"/>
        <v>12</v>
      </c>
      <c r="Z25" s="75">
        <v>0</v>
      </c>
      <c r="AA25" s="493" t="s">
        <v>1090</v>
      </c>
      <c r="AB25" s="1378">
        <f>SUM(M25:N25)</f>
        <v>2</v>
      </c>
      <c r="AC25" s="1371">
        <f t="shared" si="3"/>
        <v>1</v>
      </c>
      <c r="AD25" s="1509">
        <v>2</v>
      </c>
      <c r="AE25" s="1311">
        <f t="shared" si="10"/>
        <v>1</v>
      </c>
      <c r="AF25" s="1311">
        <f>AD25/Y25</f>
        <v>0.16666666666666666</v>
      </c>
      <c r="AG25" s="1311">
        <f t="shared" si="11"/>
        <v>0.16666666666666666</v>
      </c>
      <c r="AH25" s="1371">
        <f t="shared" si="4"/>
        <v>1</v>
      </c>
      <c r="AI25" s="1378"/>
      <c r="AJ25" s="1371"/>
      <c r="AK25" s="1378"/>
      <c r="AL25" s="1378"/>
      <c r="AM25" s="1692">
        <f t="shared" si="0"/>
        <v>4</v>
      </c>
      <c r="AN25" s="1699">
        <f t="shared" si="5"/>
        <v>1</v>
      </c>
      <c r="AO25" s="1697">
        <v>2</v>
      </c>
      <c r="AP25" s="1699">
        <f t="shared" si="12"/>
        <v>0.5</v>
      </c>
      <c r="AQ25" s="1699">
        <f>AO25/Y25</f>
        <v>0.16666666666666666</v>
      </c>
      <c r="AR25" s="1699">
        <f t="shared" si="13"/>
        <v>0.5</v>
      </c>
      <c r="AS25" s="1743">
        <v>0</v>
      </c>
      <c r="AT25" s="1692"/>
      <c r="AU25" s="1692"/>
      <c r="AV25" s="1692"/>
      <c r="AW25" s="2200">
        <f t="shared" si="1"/>
        <v>6</v>
      </c>
      <c r="AX25" s="2201">
        <f t="shared" si="6"/>
        <v>1</v>
      </c>
      <c r="AY25" s="2200">
        <v>6</v>
      </c>
      <c r="AZ25" s="2201">
        <v>1</v>
      </c>
      <c r="BA25" s="2200"/>
      <c r="BB25" s="2201">
        <v>0.5</v>
      </c>
      <c r="BC25" s="2202">
        <v>0</v>
      </c>
      <c r="BD25" s="2200" t="s">
        <v>1090</v>
      </c>
      <c r="BE25" s="2084"/>
      <c r="BF25" s="2084"/>
      <c r="BG25" s="2474">
        <f t="shared" si="7"/>
        <v>8</v>
      </c>
      <c r="BH25" s="2475">
        <f t="shared" si="8"/>
        <v>1</v>
      </c>
      <c r="BI25" s="2476">
        <v>8</v>
      </c>
      <c r="BJ25" s="2475">
        <v>1</v>
      </c>
      <c r="BK25" s="2475"/>
      <c r="BL25" s="2475">
        <f aca="true" t="shared" si="15" ref="BL25:BL28">BI25/Y25</f>
        <v>0.6666666666666666</v>
      </c>
      <c r="BM25" s="2477"/>
      <c r="BN25" s="2474"/>
      <c r="BO25" s="2474"/>
      <c r="BP25" s="2474"/>
    </row>
    <row r="26" spans="1:68" s="49" customFormat="1" ht="69" customHeight="1" thickBot="1">
      <c r="A26" s="2655"/>
      <c r="B26" s="2655"/>
      <c r="C26" s="2657"/>
      <c r="D26" s="94" t="s">
        <v>662</v>
      </c>
      <c r="E26" s="309" t="s">
        <v>54</v>
      </c>
      <c r="F26" s="309">
        <v>12</v>
      </c>
      <c r="G26" s="309" t="s">
        <v>663</v>
      </c>
      <c r="H26" s="309" t="s">
        <v>645</v>
      </c>
      <c r="I26" s="310">
        <f t="shared" si="2"/>
        <v>0.07692307692307693</v>
      </c>
      <c r="J26" s="309" t="s">
        <v>664</v>
      </c>
      <c r="K26" s="67">
        <v>42005</v>
      </c>
      <c r="L26" s="67">
        <v>42369</v>
      </c>
      <c r="M26" s="125">
        <v>1</v>
      </c>
      <c r="N26" s="125">
        <v>1</v>
      </c>
      <c r="O26" s="125">
        <v>1</v>
      </c>
      <c r="P26" s="125">
        <v>1</v>
      </c>
      <c r="Q26" s="125">
        <v>1</v>
      </c>
      <c r="R26" s="126">
        <v>1</v>
      </c>
      <c r="S26" s="126">
        <v>1</v>
      </c>
      <c r="T26" s="125">
        <v>1</v>
      </c>
      <c r="U26" s="126">
        <v>1</v>
      </c>
      <c r="V26" s="126">
        <v>1</v>
      </c>
      <c r="W26" s="126">
        <v>1</v>
      </c>
      <c r="X26" s="126">
        <v>1</v>
      </c>
      <c r="Y26" s="311">
        <f t="shared" si="14"/>
        <v>12</v>
      </c>
      <c r="Z26" s="75">
        <v>0</v>
      </c>
      <c r="AA26" s="493" t="s">
        <v>1090</v>
      </c>
      <c r="AB26" s="1378">
        <f>SUM(M26:N26)</f>
        <v>2</v>
      </c>
      <c r="AC26" s="1371">
        <f t="shared" si="3"/>
        <v>1</v>
      </c>
      <c r="AD26" s="1509">
        <v>2</v>
      </c>
      <c r="AE26" s="1311">
        <f t="shared" si="10"/>
        <v>1</v>
      </c>
      <c r="AF26" s="1311">
        <f>AD26/Y26</f>
        <v>0.16666666666666666</v>
      </c>
      <c r="AG26" s="1311">
        <f t="shared" si="11"/>
        <v>0.16666666666666666</v>
      </c>
      <c r="AH26" s="1371">
        <f t="shared" si="4"/>
        <v>1</v>
      </c>
      <c r="AI26" s="1378"/>
      <c r="AJ26" s="1371"/>
      <c r="AK26" s="1378"/>
      <c r="AL26" s="1378"/>
      <c r="AM26" s="1692">
        <f t="shared" si="0"/>
        <v>4</v>
      </c>
      <c r="AN26" s="1699">
        <f t="shared" si="5"/>
        <v>1</v>
      </c>
      <c r="AO26" s="1697">
        <v>2</v>
      </c>
      <c r="AP26" s="1699">
        <f t="shared" si="12"/>
        <v>0.5</v>
      </c>
      <c r="AQ26" s="1699">
        <f>AO26/Y26</f>
        <v>0.16666666666666666</v>
      </c>
      <c r="AR26" s="1699">
        <f t="shared" si="13"/>
        <v>0.5</v>
      </c>
      <c r="AS26" s="1743">
        <v>0</v>
      </c>
      <c r="AT26" s="1692"/>
      <c r="AU26" s="1692"/>
      <c r="AV26" s="1692"/>
      <c r="AW26" s="2200">
        <f t="shared" si="1"/>
        <v>6</v>
      </c>
      <c r="AX26" s="2201">
        <f t="shared" si="6"/>
        <v>1</v>
      </c>
      <c r="AY26" s="2200">
        <v>6</v>
      </c>
      <c r="AZ26" s="2201">
        <v>1</v>
      </c>
      <c r="BA26" s="2200"/>
      <c r="BB26" s="2201">
        <v>0.5</v>
      </c>
      <c r="BC26" s="2202">
        <v>0</v>
      </c>
      <c r="BD26" s="2200" t="s">
        <v>1090</v>
      </c>
      <c r="BE26" s="2084" t="s">
        <v>2758</v>
      </c>
      <c r="BF26" s="2084"/>
      <c r="BG26" s="2474">
        <f t="shared" si="7"/>
        <v>8</v>
      </c>
      <c r="BH26" s="2475">
        <f t="shared" si="8"/>
        <v>1</v>
      </c>
      <c r="BI26" s="2476">
        <v>8</v>
      </c>
      <c r="BJ26" s="2475">
        <v>1</v>
      </c>
      <c r="BK26" s="2475"/>
      <c r="BL26" s="2475">
        <f t="shared" si="15"/>
        <v>0.6666666666666666</v>
      </c>
      <c r="BM26" s="2477"/>
      <c r="BN26" s="2474"/>
      <c r="BO26" s="2474"/>
      <c r="BP26" s="2474"/>
    </row>
    <row r="27" spans="1:68" s="49" customFormat="1" ht="39" thickBot="1">
      <c r="A27" s="2655"/>
      <c r="B27" s="2655"/>
      <c r="C27" s="2657"/>
      <c r="D27" s="94" t="s">
        <v>665</v>
      </c>
      <c r="E27" s="309" t="s">
        <v>54</v>
      </c>
      <c r="F27" s="309">
        <v>12</v>
      </c>
      <c r="G27" s="309" t="s">
        <v>657</v>
      </c>
      <c r="H27" s="309" t="s">
        <v>645</v>
      </c>
      <c r="I27" s="310">
        <f t="shared" si="2"/>
        <v>0.07692307692307693</v>
      </c>
      <c r="J27" s="309" t="s">
        <v>666</v>
      </c>
      <c r="K27" s="67">
        <v>42005</v>
      </c>
      <c r="L27" s="67">
        <v>42369</v>
      </c>
      <c r="M27" s="125">
        <v>1</v>
      </c>
      <c r="N27" s="125">
        <v>1</v>
      </c>
      <c r="O27" s="125">
        <v>1</v>
      </c>
      <c r="P27" s="125">
        <v>1</v>
      </c>
      <c r="Q27" s="125">
        <v>1</v>
      </c>
      <c r="R27" s="126">
        <v>1</v>
      </c>
      <c r="S27" s="126">
        <v>1</v>
      </c>
      <c r="T27" s="125">
        <v>1</v>
      </c>
      <c r="U27" s="126">
        <v>1</v>
      </c>
      <c r="V27" s="126">
        <v>1</v>
      </c>
      <c r="W27" s="126">
        <v>1</v>
      </c>
      <c r="X27" s="126">
        <v>1</v>
      </c>
      <c r="Y27" s="311">
        <f t="shared" si="14"/>
        <v>12</v>
      </c>
      <c r="Z27" s="75">
        <v>0</v>
      </c>
      <c r="AA27" s="493" t="s">
        <v>1090</v>
      </c>
      <c r="AB27" s="1378">
        <f>SUM(M27:N27)</f>
        <v>2</v>
      </c>
      <c r="AC27" s="1371">
        <f t="shared" si="3"/>
        <v>1</v>
      </c>
      <c r="AD27" s="1509">
        <v>2</v>
      </c>
      <c r="AE27" s="1311">
        <f t="shared" si="10"/>
        <v>1</v>
      </c>
      <c r="AF27" s="1311">
        <f>AD27/Y27</f>
        <v>0.16666666666666666</v>
      </c>
      <c r="AG27" s="1311">
        <f t="shared" si="11"/>
        <v>0.16666666666666666</v>
      </c>
      <c r="AH27" s="1371">
        <f t="shared" si="4"/>
        <v>1</v>
      </c>
      <c r="AI27" s="1378"/>
      <c r="AJ27" s="1371"/>
      <c r="AK27" s="1378"/>
      <c r="AL27" s="1378"/>
      <c r="AM27" s="1692">
        <f t="shared" si="0"/>
        <v>4</v>
      </c>
      <c r="AN27" s="1699">
        <f t="shared" si="5"/>
        <v>1</v>
      </c>
      <c r="AO27" s="1697">
        <v>2</v>
      </c>
      <c r="AP27" s="1699">
        <f t="shared" si="12"/>
        <v>0.5</v>
      </c>
      <c r="AQ27" s="1699">
        <f>AO27/Y27</f>
        <v>0.16666666666666666</v>
      </c>
      <c r="AR27" s="1699">
        <f t="shared" si="13"/>
        <v>0.5</v>
      </c>
      <c r="AS27" s="1743">
        <v>0</v>
      </c>
      <c r="AT27" s="1692"/>
      <c r="AU27" s="1692"/>
      <c r="AV27" s="1692"/>
      <c r="AW27" s="2200">
        <f t="shared" si="1"/>
        <v>6</v>
      </c>
      <c r="AX27" s="2201">
        <f t="shared" si="6"/>
        <v>1</v>
      </c>
      <c r="AY27" s="2200">
        <v>6</v>
      </c>
      <c r="AZ27" s="2201">
        <v>1</v>
      </c>
      <c r="BA27" s="2200"/>
      <c r="BB27" s="2201">
        <v>0.5</v>
      </c>
      <c r="BC27" s="2202">
        <v>0</v>
      </c>
      <c r="BD27" s="2200" t="s">
        <v>1090</v>
      </c>
      <c r="BE27" s="2084"/>
      <c r="BF27" s="2084"/>
      <c r="BG27" s="2474">
        <f t="shared" si="7"/>
        <v>8</v>
      </c>
      <c r="BH27" s="2475">
        <f t="shared" si="8"/>
        <v>1</v>
      </c>
      <c r="BI27" s="2476">
        <v>8</v>
      </c>
      <c r="BJ27" s="2475">
        <v>1</v>
      </c>
      <c r="BK27" s="2475"/>
      <c r="BL27" s="2475">
        <f t="shared" si="15"/>
        <v>0.6666666666666666</v>
      </c>
      <c r="BM27" s="2477"/>
      <c r="BN27" s="2474"/>
      <c r="BO27" s="2474"/>
      <c r="BP27" s="2474"/>
    </row>
    <row r="28" spans="1:68" s="49" customFormat="1" ht="43.5" customHeight="1" thickBot="1">
      <c r="A28" s="2655"/>
      <c r="B28" s="2655"/>
      <c r="C28" s="2657"/>
      <c r="D28" s="94" t="s">
        <v>667</v>
      </c>
      <c r="E28" s="309" t="s">
        <v>54</v>
      </c>
      <c r="F28" s="309">
        <v>12</v>
      </c>
      <c r="G28" s="309" t="s">
        <v>657</v>
      </c>
      <c r="H28" s="309" t="s">
        <v>668</v>
      </c>
      <c r="I28" s="310">
        <f t="shared" si="2"/>
        <v>0.07692307692307693</v>
      </c>
      <c r="J28" s="309" t="s">
        <v>669</v>
      </c>
      <c r="K28" s="67">
        <v>42005</v>
      </c>
      <c r="L28" s="67">
        <v>42369</v>
      </c>
      <c r="M28" s="125">
        <v>1</v>
      </c>
      <c r="N28" s="125">
        <v>1</v>
      </c>
      <c r="O28" s="125">
        <v>1</v>
      </c>
      <c r="P28" s="125">
        <v>1</v>
      </c>
      <c r="Q28" s="125">
        <v>1</v>
      </c>
      <c r="R28" s="126">
        <v>1</v>
      </c>
      <c r="S28" s="126">
        <v>1</v>
      </c>
      <c r="T28" s="125">
        <v>1</v>
      </c>
      <c r="U28" s="126">
        <v>1</v>
      </c>
      <c r="V28" s="126">
        <v>1</v>
      </c>
      <c r="W28" s="126">
        <v>1</v>
      </c>
      <c r="X28" s="126">
        <v>1</v>
      </c>
      <c r="Y28" s="311">
        <f t="shared" si="14"/>
        <v>12</v>
      </c>
      <c r="Z28" s="75">
        <v>0</v>
      </c>
      <c r="AA28" s="493" t="s">
        <v>1090</v>
      </c>
      <c r="AB28" s="1378">
        <f>SUM(M28:N28)</f>
        <v>2</v>
      </c>
      <c r="AC28" s="1371">
        <f t="shared" si="3"/>
        <v>1</v>
      </c>
      <c r="AD28" s="1509">
        <v>2</v>
      </c>
      <c r="AE28" s="1311">
        <f t="shared" si="10"/>
        <v>1</v>
      </c>
      <c r="AF28" s="1311">
        <f>AD28/Y28</f>
        <v>0.16666666666666666</v>
      </c>
      <c r="AG28" s="1311">
        <f t="shared" si="11"/>
        <v>0.16666666666666666</v>
      </c>
      <c r="AH28" s="1371">
        <f t="shared" si="4"/>
        <v>1</v>
      </c>
      <c r="AI28" s="1378"/>
      <c r="AJ28" s="1371"/>
      <c r="AK28" s="1378"/>
      <c r="AL28" s="1378"/>
      <c r="AM28" s="1692">
        <f t="shared" si="0"/>
        <v>4</v>
      </c>
      <c r="AN28" s="1699">
        <f t="shared" si="5"/>
        <v>1</v>
      </c>
      <c r="AO28" s="1697">
        <v>2</v>
      </c>
      <c r="AP28" s="1699">
        <f t="shared" si="12"/>
        <v>0.5</v>
      </c>
      <c r="AQ28" s="1699">
        <f>AO28/Y28</f>
        <v>0.16666666666666666</v>
      </c>
      <c r="AR28" s="1699">
        <f t="shared" si="13"/>
        <v>0.5</v>
      </c>
      <c r="AS28" s="1743">
        <v>0</v>
      </c>
      <c r="AT28" s="1692"/>
      <c r="AU28" s="1692"/>
      <c r="AV28" s="1692"/>
      <c r="AW28" s="2200">
        <f t="shared" si="1"/>
        <v>6</v>
      </c>
      <c r="AX28" s="2201">
        <f t="shared" si="6"/>
        <v>1</v>
      </c>
      <c r="AY28" s="2200">
        <v>6</v>
      </c>
      <c r="AZ28" s="2201">
        <v>1</v>
      </c>
      <c r="BA28" s="2200"/>
      <c r="BB28" s="2201">
        <v>0.5</v>
      </c>
      <c r="BC28" s="2202">
        <v>0</v>
      </c>
      <c r="BD28" s="2200" t="s">
        <v>1090</v>
      </c>
      <c r="BE28" s="2084"/>
      <c r="BF28" s="2084"/>
      <c r="BG28" s="2474">
        <f t="shared" si="7"/>
        <v>8</v>
      </c>
      <c r="BH28" s="2475">
        <f t="shared" si="8"/>
        <v>1</v>
      </c>
      <c r="BI28" s="2476">
        <v>8</v>
      </c>
      <c r="BJ28" s="2475">
        <v>1</v>
      </c>
      <c r="BK28" s="2475"/>
      <c r="BL28" s="2475">
        <f t="shared" si="15"/>
        <v>0.6666666666666666</v>
      </c>
      <c r="BM28" s="2477"/>
      <c r="BN28" s="2474"/>
      <c r="BO28" s="2474"/>
      <c r="BP28" s="2474"/>
    </row>
    <row r="29" spans="1:68" s="606" customFormat="1" ht="20.1" customHeight="1" thickBot="1">
      <c r="A29" s="2652" t="s">
        <v>130</v>
      </c>
      <c r="B29" s="2653"/>
      <c r="C29" s="2653"/>
      <c r="D29" s="2654"/>
      <c r="E29" s="1778"/>
      <c r="F29" s="1779"/>
      <c r="G29" s="1779"/>
      <c r="H29" s="1779"/>
      <c r="I29" s="157">
        <f>SUM(I16:I28)</f>
        <v>0.9999999999999998</v>
      </c>
      <c r="J29" s="1779"/>
      <c r="K29" s="1779"/>
      <c r="L29" s="1779"/>
      <c r="M29" s="1779"/>
      <c r="N29" s="1779"/>
      <c r="O29" s="1779"/>
      <c r="P29" s="1779"/>
      <c r="Q29" s="1779"/>
      <c r="R29" s="1779"/>
      <c r="S29" s="1779"/>
      <c r="T29" s="1779"/>
      <c r="U29" s="1779"/>
      <c r="V29" s="1779"/>
      <c r="W29" s="1779"/>
      <c r="X29" s="1779"/>
      <c r="Y29" s="87"/>
      <c r="Z29" s="88">
        <f>SUM(Z16:Z28)</f>
        <v>0</v>
      </c>
      <c r="AA29" s="1780"/>
      <c r="AB29" s="1559"/>
      <c r="AC29" s="1556">
        <f>AVERAGEIF(AC16:AC28,"&gt;0")</f>
        <v>1</v>
      </c>
      <c r="AD29" s="1511"/>
      <c r="AE29" s="1494">
        <f>AVERAGE(AE16:AE28)</f>
        <v>0.875</v>
      </c>
      <c r="AF29" s="1494">
        <f>AVERAGE(AF16:AF28)</f>
        <v>0.12962962962962962</v>
      </c>
      <c r="AG29" s="1494">
        <f>AVERAGE(AG16:AG28)</f>
        <v>0.08974358974358973</v>
      </c>
      <c r="AH29" s="1861" t="e">
        <f>AVERAGE(AH16:AH28)</f>
        <v>#VALUE!</v>
      </c>
      <c r="AI29" s="1324">
        <f>SUM(AI16:AI28)</f>
        <v>0</v>
      </c>
      <c r="AJ29" s="1324"/>
      <c r="AK29" s="1324"/>
      <c r="AL29" s="1324"/>
      <c r="AM29" s="1325"/>
      <c r="AN29" s="1875">
        <f>AVERAGEIF(AN16:AN28,"&gt;0")</f>
        <v>1</v>
      </c>
      <c r="AO29" s="1325"/>
      <c r="AP29" s="1877">
        <f>AVERAGE(AP16:AP28)</f>
        <v>0.4375</v>
      </c>
      <c r="AQ29" s="1325"/>
      <c r="AR29" s="1877">
        <f>AVERAGE(AR16:AR28)</f>
        <v>0.4375</v>
      </c>
      <c r="AS29" s="1325"/>
      <c r="AT29" s="1325"/>
      <c r="AU29" s="1325"/>
      <c r="AV29" s="1325"/>
      <c r="AW29" s="2203"/>
      <c r="AX29" s="2204">
        <v>1</v>
      </c>
      <c r="AY29" s="2203"/>
      <c r="AZ29" s="2205">
        <f>AVERAGE(AZ16:AZ28)</f>
        <v>0.9375</v>
      </c>
      <c r="BA29" s="2203"/>
      <c r="BB29" s="2205">
        <f>AVERAGE(BB16:BB28)</f>
        <v>0.46875</v>
      </c>
      <c r="BC29" s="1325"/>
      <c r="BD29" s="1325"/>
      <c r="BE29" s="1325"/>
      <c r="BF29" s="1325"/>
      <c r="BG29" s="1325"/>
      <c r="BH29" s="1721">
        <v>1</v>
      </c>
      <c r="BI29" s="636"/>
      <c r="BJ29" s="1261">
        <f>AVERAGE(BJ16:BJ28)</f>
        <v>1</v>
      </c>
      <c r="BK29" s="636"/>
      <c r="BL29" s="1261">
        <f>AVERAGE(BL16:BL28)</f>
        <v>0.6770833333333334</v>
      </c>
      <c r="BM29" s="1325"/>
      <c r="BN29" s="1325"/>
      <c r="BO29" s="1325"/>
      <c r="BP29" s="1325"/>
    </row>
    <row r="30" spans="1:68" s="606" customFormat="1" ht="20.1" customHeight="1" thickBot="1">
      <c r="A30" s="2669" t="s">
        <v>290</v>
      </c>
      <c r="B30" s="2669"/>
      <c r="C30" s="2669"/>
      <c r="D30" s="2669"/>
      <c r="E30" s="219"/>
      <c r="F30" s="219"/>
      <c r="G30" s="219"/>
      <c r="H30" s="1783"/>
      <c r="I30" s="312">
        <f>+I29</f>
        <v>0.9999999999999998</v>
      </c>
      <c r="J30" s="1783"/>
      <c r="K30" s="1783"/>
      <c r="L30" s="1783"/>
      <c r="M30" s="1783"/>
      <c r="N30" s="1783"/>
      <c r="O30" s="1783"/>
      <c r="P30" s="1783"/>
      <c r="Q30" s="1783"/>
      <c r="R30" s="1783"/>
      <c r="S30" s="1783"/>
      <c r="T30" s="1783"/>
      <c r="U30" s="1783"/>
      <c r="V30" s="1783"/>
      <c r="W30" s="1783"/>
      <c r="X30" s="1783"/>
      <c r="Y30" s="222"/>
      <c r="Z30" s="223">
        <f>SUM(Z29)</f>
        <v>0</v>
      </c>
      <c r="AA30" s="1784"/>
      <c r="AB30" s="1527"/>
      <c r="AC30" s="1546">
        <f>AVERAGE(AC29)</f>
        <v>1</v>
      </c>
      <c r="AD30" s="1526"/>
      <c r="AE30" s="1525">
        <f>AVERAGE(AE29)</f>
        <v>0.875</v>
      </c>
      <c r="AF30" s="1525">
        <f>AVERAGE(AF29)</f>
        <v>0.12962962962962962</v>
      </c>
      <c r="AG30" s="1525">
        <f>AVERAGE(AG29)</f>
        <v>0.08974358974358973</v>
      </c>
      <c r="AH30" s="306" t="e">
        <f>AVERAGE(AH29)</f>
        <v>#VALUE!</v>
      </c>
      <c r="AI30" s="1329">
        <f>SUM(AI29)</f>
        <v>0</v>
      </c>
      <c r="AJ30" s="1329"/>
      <c r="AK30" s="1329"/>
      <c r="AL30" s="1329"/>
      <c r="AM30" s="1329"/>
      <c r="AN30" s="306">
        <f>AVERAGE(AN29)</f>
        <v>1</v>
      </c>
      <c r="AO30" s="1329"/>
      <c r="AP30" s="306">
        <f>AVERAGE(AP29)</f>
        <v>0.4375</v>
      </c>
      <c r="AQ30" s="1329"/>
      <c r="AR30" s="306">
        <f>AVERAGE(AR29)</f>
        <v>0.4375</v>
      </c>
      <c r="AS30" s="1329"/>
      <c r="AT30" s="1329"/>
      <c r="AU30" s="1329"/>
      <c r="AV30" s="1329"/>
      <c r="AW30" s="2208"/>
      <c r="AX30" s="2206">
        <v>1</v>
      </c>
      <c r="AY30" s="2208"/>
      <c r="AZ30" s="2207">
        <f>AVERAGE(AZ29)</f>
        <v>0.9375</v>
      </c>
      <c r="BA30" s="2208"/>
      <c r="BB30" s="2207">
        <f>AVERAGE(BB29)</f>
        <v>0.46875</v>
      </c>
      <c r="BC30" s="1329"/>
      <c r="BD30" s="1329"/>
      <c r="BE30" s="1329"/>
      <c r="BF30" s="1329"/>
      <c r="BG30" s="1329"/>
      <c r="BH30" s="1279">
        <v>1</v>
      </c>
      <c r="BI30" s="652"/>
      <c r="BJ30" s="1279">
        <f>AVERAGE(BJ29)</f>
        <v>1</v>
      </c>
      <c r="BK30" s="652"/>
      <c r="BL30" s="1279">
        <f>AVERAGE(BL29)</f>
        <v>0.6770833333333334</v>
      </c>
      <c r="BM30" s="1329"/>
      <c r="BN30" s="1329"/>
      <c r="BO30" s="1329"/>
      <c r="BP30" s="1329"/>
    </row>
    <row r="31" spans="1:68" s="13" customFormat="1" ht="9.95" customHeight="1" thickBot="1">
      <c r="A31" s="2663"/>
      <c r="B31" s="2663"/>
      <c r="C31" s="2663"/>
      <c r="D31" s="2663"/>
      <c r="E31" s="2663"/>
      <c r="F31" s="2663"/>
      <c r="G31" s="2663"/>
      <c r="H31" s="2663"/>
      <c r="I31" s="2663"/>
      <c r="J31" s="2663"/>
      <c r="K31" s="2663"/>
      <c r="L31" s="2663"/>
      <c r="M31" s="2663"/>
      <c r="N31" s="2663"/>
      <c r="O31" s="2663"/>
      <c r="P31" s="2663"/>
      <c r="Q31" s="2663"/>
      <c r="R31" s="2663"/>
      <c r="S31" s="2663"/>
      <c r="T31" s="2663"/>
      <c r="U31" s="2663"/>
      <c r="V31" s="2663"/>
      <c r="W31" s="2663"/>
      <c r="X31" s="2663"/>
      <c r="Y31" s="2663"/>
      <c r="Z31" s="2663"/>
      <c r="AA31" s="2663"/>
      <c r="AB31" s="313"/>
      <c r="AC31" s="1565"/>
      <c r="AD31" s="1514"/>
      <c r="AE31" s="1310"/>
      <c r="AF31" s="1310"/>
      <c r="AG31" s="1310"/>
      <c r="AH31" s="313"/>
      <c r="AI31" s="313"/>
      <c r="AJ31" s="313"/>
      <c r="AK31" s="313"/>
      <c r="AL31" s="313"/>
      <c r="AM31" s="314"/>
      <c r="AN31" s="314"/>
      <c r="AO31" s="314"/>
      <c r="AP31" s="314"/>
      <c r="AQ31" s="314"/>
      <c r="AR31" s="314"/>
      <c r="AS31" s="314"/>
      <c r="AT31" s="314"/>
      <c r="AU31" s="314"/>
      <c r="AV31" s="314"/>
      <c r="AW31" s="314"/>
      <c r="AX31" s="314"/>
      <c r="AY31" s="314"/>
      <c r="AZ31" s="314"/>
      <c r="BA31" s="314"/>
      <c r="BB31" s="314"/>
      <c r="BC31" s="314"/>
      <c r="BG31" s="314"/>
      <c r="BH31" s="314"/>
      <c r="BI31" s="314"/>
      <c r="BJ31" s="314"/>
      <c r="BK31" s="314"/>
      <c r="BL31" s="314"/>
      <c r="BM31" s="314"/>
      <c r="BN31" s="314"/>
      <c r="BO31" s="314"/>
      <c r="BP31" s="314"/>
    </row>
    <row r="32" spans="1:68" s="4" customFormat="1" ht="21" customHeight="1" thickBot="1">
      <c r="A32" s="2645" t="s">
        <v>9</v>
      </c>
      <c r="B32" s="2646"/>
      <c r="C32" s="2646"/>
      <c r="D32" s="2647"/>
      <c r="E32" s="2648" t="s">
        <v>292</v>
      </c>
      <c r="F32" s="2649"/>
      <c r="G32" s="2649"/>
      <c r="H32" s="2649"/>
      <c r="I32" s="2649"/>
      <c r="J32" s="2649"/>
      <c r="K32" s="2649"/>
      <c r="L32" s="2649"/>
      <c r="M32" s="2649"/>
      <c r="N32" s="2649"/>
      <c r="O32" s="2649"/>
      <c r="P32" s="2649"/>
      <c r="Q32" s="2649"/>
      <c r="R32" s="2649"/>
      <c r="S32" s="2649"/>
      <c r="T32" s="2649"/>
      <c r="U32" s="2649"/>
      <c r="V32" s="2649"/>
      <c r="W32" s="2649"/>
      <c r="X32" s="2649"/>
      <c r="Y32" s="2649"/>
      <c r="Z32" s="2649"/>
      <c r="AA32" s="2650"/>
      <c r="AB32" s="2651" t="s">
        <v>292</v>
      </c>
      <c r="AC32" s="2651"/>
      <c r="AD32" s="2651"/>
      <c r="AE32" s="2651"/>
      <c r="AF32" s="2651"/>
      <c r="AG32" s="2651"/>
      <c r="AH32" s="2651"/>
      <c r="AI32" s="2651"/>
      <c r="AJ32" s="2651"/>
      <c r="AK32" s="2651"/>
      <c r="AL32" s="2651"/>
      <c r="AM32" s="2651" t="s">
        <v>292</v>
      </c>
      <c r="AN32" s="2651"/>
      <c r="AO32" s="2651"/>
      <c r="AP32" s="2651"/>
      <c r="AQ32" s="2651"/>
      <c r="AR32" s="2651"/>
      <c r="AS32" s="2651"/>
      <c r="AT32" s="2651"/>
      <c r="AU32" s="2651"/>
      <c r="AV32" s="2651"/>
      <c r="AW32" s="2648" t="s">
        <v>292</v>
      </c>
      <c r="AX32" s="2649"/>
      <c r="AY32" s="2649"/>
      <c r="AZ32" s="2649"/>
      <c r="BA32" s="2649"/>
      <c r="BB32" s="2649"/>
      <c r="BC32" s="2649"/>
      <c r="BD32" s="2649"/>
      <c r="BE32" s="2649"/>
      <c r="BF32" s="2650"/>
      <c r="BG32" s="2651" t="s">
        <v>292</v>
      </c>
      <c r="BH32" s="2651"/>
      <c r="BI32" s="2651"/>
      <c r="BJ32" s="2651"/>
      <c r="BK32" s="2651"/>
      <c r="BL32" s="2651"/>
      <c r="BM32" s="2651"/>
      <c r="BN32" s="2651"/>
      <c r="BO32" s="2651"/>
      <c r="BP32" s="2651"/>
    </row>
    <row r="33" spans="2:38" s="13" customFormat="1" ht="9.95" customHeight="1" thickBot="1">
      <c r="B33" s="14"/>
      <c r="F33" s="243"/>
      <c r="I33" s="244"/>
      <c r="K33" s="245"/>
      <c r="L33" s="245"/>
      <c r="Y33" s="246"/>
      <c r="Z33" s="247"/>
      <c r="AB33" s="1340"/>
      <c r="AC33" s="1564"/>
      <c r="AD33" s="1506"/>
      <c r="AE33" s="1307"/>
      <c r="AF33" s="1307"/>
      <c r="AG33" s="1307"/>
      <c r="AH33" s="1340"/>
      <c r="AI33" s="1340"/>
      <c r="AJ33" s="1340"/>
      <c r="AK33" s="1340"/>
      <c r="AL33" s="1340"/>
    </row>
    <row r="34" spans="1:68" s="35" customFormat="1" ht="39" thickBot="1">
      <c r="A34" s="22" t="s">
        <v>11</v>
      </c>
      <c r="B34" s="315" t="s">
        <v>12</v>
      </c>
      <c r="C34" s="22" t="s">
        <v>13</v>
      </c>
      <c r="D34" s="22" t="s">
        <v>14</v>
      </c>
      <c r="E34" s="316" t="s">
        <v>15</v>
      </c>
      <c r="F34" s="317" t="s">
        <v>16</v>
      </c>
      <c r="G34" s="318" t="s">
        <v>17</v>
      </c>
      <c r="H34" s="318" t="s">
        <v>18</v>
      </c>
      <c r="I34" s="319" t="s">
        <v>19</v>
      </c>
      <c r="J34" s="318" t="s">
        <v>20</v>
      </c>
      <c r="K34" s="318" t="s">
        <v>21</v>
      </c>
      <c r="L34" s="318" t="s">
        <v>22</v>
      </c>
      <c r="M34" s="320" t="s">
        <v>23</v>
      </c>
      <c r="N34" s="320" t="s">
        <v>24</v>
      </c>
      <c r="O34" s="320" t="s">
        <v>25</v>
      </c>
      <c r="P34" s="320" t="s">
        <v>26</v>
      </c>
      <c r="Q34" s="320" t="s">
        <v>27</v>
      </c>
      <c r="R34" s="320" t="s">
        <v>28</v>
      </c>
      <c r="S34" s="320" t="s">
        <v>29</v>
      </c>
      <c r="T34" s="320" t="s">
        <v>30</v>
      </c>
      <c r="U34" s="320" t="s">
        <v>31</v>
      </c>
      <c r="V34" s="320" t="s">
        <v>32</v>
      </c>
      <c r="W34" s="320" t="s">
        <v>33</v>
      </c>
      <c r="X34" s="320" t="s">
        <v>34</v>
      </c>
      <c r="Y34" s="321" t="s">
        <v>35</v>
      </c>
      <c r="Z34" s="318" t="s">
        <v>36</v>
      </c>
      <c r="AA34" s="322" t="s">
        <v>37</v>
      </c>
      <c r="AB34" s="1322" t="s">
        <v>38</v>
      </c>
      <c r="AC34" s="1631" t="s">
        <v>1781</v>
      </c>
      <c r="AD34" s="1508" t="s">
        <v>39</v>
      </c>
      <c r="AE34" s="1614" t="s">
        <v>1821</v>
      </c>
      <c r="AF34" s="1614" t="s">
        <v>1822</v>
      </c>
      <c r="AG34" s="1613" t="s">
        <v>1783</v>
      </c>
      <c r="AH34" s="1322" t="s">
        <v>40</v>
      </c>
      <c r="AI34" s="1322" t="s">
        <v>41</v>
      </c>
      <c r="AJ34" s="1322" t="s">
        <v>42</v>
      </c>
      <c r="AK34" s="1322" t="s">
        <v>43</v>
      </c>
      <c r="AL34" s="1322" t="s">
        <v>44</v>
      </c>
      <c r="AM34" s="33" t="s">
        <v>45</v>
      </c>
      <c r="AN34" s="33" t="s">
        <v>1781</v>
      </c>
      <c r="AO34" s="33" t="s">
        <v>46</v>
      </c>
      <c r="AP34" s="33" t="s">
        <v>1821</v>
      </c>
      <c r="AQ34" s="33" t="s">
        <v>1822</v>
      </c>
      <c r="AR34" s="33" t="s">
        <v>1783</v>
      </c>
      <c r="AS34" s="33" t="s">
        <v>41</v>
      </c>
      <c r="AT34" s="33" t="s">
        <v>42</v>
      </c>
      <c r="AU34" s="33" t="s">
        <v>43</v>
      </c>
      <c r="AV34" s="33" t="s">
        <v>44</v>
      </c>
      <c r="AW34" s="1983" t="s">
        <v>47</v>
      </c>
      <c r="AX34" s="1983" t="s">
        <v>1781</v>
      </c>
      <c r="AY34" s="1983" t="s">
        <v>48</v>
      </c>
      <c r="AZ34" s="1983" t="s">
        <v>2453</v>
      </c>
      <c r="BA34" s="1983" t="s">
        <v>1822</v>
      </c>
      <c r="BB34" s="1983" t="s">
        <v>2489</v>
      </c>
      <c r="BC34" s="1983" t="s">
        <v>41</v>
      </c>
      <c r="BD34" s="1983" t="s">
        <v>42</v>
      </c>
      <c r="BE34" s="1983" t="s">
        <v>43</v>
      </c>
      <c r="BF34" s="1983" t="s">
        <v>44</v>
      </c>
      <c r="BG34" s="2079" t="s">
        <v>49</v>
      </c>
      <c r="BH34" s="2079" t="s">
        <v>1781</v>
      </c>
      <c r="BI34" s="2079" t="s">
        <v>50</v>
      </c>
      <c r="BJ34" s="2079" t="s">
        <v>2946</v>
      </c>
      <c r="BK34" s="2079" t="s">
        <v>1822</v>
      </c>
      <c r="BL34" s="2079" t="s">
        <v>2858</v>
      </c>
      <c r="BM34" s="2079" t="s">
        <v>41</v>
      </c>
      <c r="BN34" s="2079" t="s">
        <v>42</v>
      </c>
      <c r="BO34" s="2079" t="s">
        <v>43</v>
      </c>
      <c r="BP34" s="2079" t="s">
        <v>44</v>
      </c>
    </row>
    <row r="35" spans="1:68" s="49" customFormat="1" ht="39" thickBot="1">
      <c r="A35" s="2658">
        <v>1</v>
      </c>
      <c r="B35" s="2655" t="s">
        <v>547</v>
      </c>
      <c r="C35" s="2657" t="s">
        <v>670</v>
      </c>
      <c r="D35" s="323" t="s">
        <v>671</v>
      </c>
      <c r="E35" s="324" t="s">
        <v>54</v>
      </c>
      <c r="F35" s="325">
        <v>1</v>
      </c>
      <c r="G35" s="326" t="s">
        <v>672</v>
      </c>
      <c r="H35" s="327" t="s">
        <v>673</v>
      </c>
      <c r="I35" s="328">
        <f>100%/10</f>
        <v>0.1</v>
      </c>
      <c r="J35" s="329" t="s">
        <v>674</v>
      </c>
      <c r="K35" s="252">
        <v>42006</v>
      </c>
      <c r="L35" s="252">
        <v>42006</v>
      </c>
      <c r="M35" s="330">
        <v>1</v>
      </c>
      <c r="N35" s="330"/>
      <c r="O35" s="330"/>
      <c r="P35" s="330"/>
      <c r="Q35" s="330"/>
      <c r="R35" s="330"/>
      <c r="S35" s="330"/>
      <c r="T35" s="330"/>
      <c r="U35" s="331"/>
      <c r="V35" s="331"/>
      <c r="W35" s="331"/>
      <c r="X35" s="331"/>
      <c r="Y35" s="311">
        <f aca="true" t="shared" si="16" ref="Y35:Y36">+SUM(M35:X35)</f>
        <v>1</v>
      </c>
      <c r="Z35" s="609">
        <v>0</v>
      </c>
      <c r="AA35" s="493" t="s">
        <v>1090</v>
      </c>
      <c r="AB35" s="1378">
        <f>SUM(M35:N35)</f>
        <v>1</v>
      </c>
      <c r="AC35" s="1371">
        <f aca="true" t="shared" si="17" ref="AC35:AC67">IF(AB35=0,0%,100%)</f>
        <v>1</v>
      </c>
      <c r="AD35" s="1509">
        <v>1</v>
      </c>
      <c r="AE35" s="1311">
        <f aca="true" t="shared" si="18" ref="AE35:AE65">AD35/AB35</f>
        <v>1</v>
      </c>
      <c r="AF35" s="1311">
        <f>AD35/Y35</f>
        <v>1</v>
      </c>
      <c r="AG35" s="1311">
        <f>AF35</f>
        <v>1</v>
      </c>
      <c r="AH35" s="1371">
        <f aca="true" t="shared" si="19" ref="AH35:AH67">AD35/AB35</f>
        <v>1</v>
      </c>
      <c r="AI35" s="1378"/>
      <c r="AJ35" s="1378"/>
      <c r="AK35" s="1378"/>
      <c r="AL35" s="1378"/>
      <c r="AM35" s="1692">
        <f aca="true" t="shared" si="20" ref="AM35:AM44">SUM(M35:P35)</f>
        <v>1</v>
      </c>
      <c r="AN35" s="1699">
        <f aca="true" t="shared" si="21" ref="AN35:AN67">IF(AM35=0,0%,100%)</f>
        <v>1</v>
      </c>
      <c r="AO35" s="1697">
        <v>0</v>
      </c>
      <c r="AP35" s="1699">
        <f>AO35/AM35</f>
        <v>0</v>
      </c>
      <c r="AQ35" s="1699">
        <f>AO35/Y35</f>
        <v>0</v>
      </c>
      <c r="AR35" s="1699">
        <f aca="true" t="shared" si="22" ref="AR35:AR67">IF(AN35&gt;0,AP35,"-")</f>
        <v>0</v>
      </c>
      <c r="AS35" s="1743">
        <v>0</v>
      </c>
      <c r="AT35" s="1692"/>
      <c r="AU35" s="1692"/>
      <c r="AV35" s="1692"/>
      <c r="AW35" s="2200">
        <f aca="true" t="shared" si="23" ref="AW35:AW44">SUM(M35:R35)</f>
        <v>1</v>
      </c>
      <c r="AX35" s="2201">
        <f aca="true" t="shared" si="24" ref="AX35:AX67">IF(AW35=0,0%,100%)</f>
        <v>1</v>
      </c>
      <c r="AY35" s="2200">
        <v>1</v>
      </c>
      <c r="AZ35" s="2201">
        <v>1</v>
      </c>
      <c r="BA35" s="2200"/>
      <c r="BB35" s="2201">
        <v>1</v>
      </c>
      <c r="BC35" s="2202">
        <v>0</v>
      </c>
      <c r="BD35" s="2200" t="s">
        <v>1090</v>
      </c>
      <c r="BE35" s="2084" t="s">
        <v>2423</v>
      </c>
      <c r="BF35" s="2084"/>
      <c r="BG35" s="2474">
        <f>SUM(M35:T35)</f>
        <v>1</v>
      </c>
      <c r="BH35" s="2475">
        <f aca="true" t="shared" si="25" ref="BH35:BH67">IF(BG35=0,0%,100%)</f>
        <v>1</v>
      </c>
      <c r="BI35" s="2476">
        <v>1</v>
      </c>
      <c r="BJ35" s="2475">
        <v>1</v>
      </c>
      <c r="BK35" s="2475"/>
      <c r="BL35" s="2475">
        <v>1</v>
      </c>
      <c r="BM35" s="2477"/>
      <c r="BN35" s="2474"/>
      <c r="BO35" s="2474"/>
      <c r="BP35" s="2474"/>
    </row>
    <row r="36" spans="1:68" s="49" customFormat="1" ht="64.5" thickBot="1">
      <c r="A36" s="2655"/>
      <c r="B36" s="2655"/>
      <c r="C36" s="2657"/>
      <c r="D36" s="94" t="s">
        <v>1791</v>
      </c>
      <c r="E36" s="332" t="s">
        <v>54</v>
      </c>
      <c r="F36" s="333">
        <v>1</v>
      </c>
      <c r="G36" s="334" t="s">
        <v>675</v>
      </c>
      <c r="H36" s="335" t="s">
        <v>676</v>
      </c>
      <c r="I36" s="328">
        <f aca="true" t="shared" si="26" ref="I36:I44">100%/10</f>
        <v>0.1</v>
      </c>
      <c r="J36" s="336" t="s">
        <v>677</v>
      </c>
      <c r="K36" s="67">
        <v>42025</v>
      </c>
      <c r="L36" s="67">
        <v>42035</v>
      </c>
      <c r="M36" s="57">
        <v>1</v>
      </c>
      <c r="N36" s="57"/>
      <c r="O36" s="57"/>
      <c r="P36" s="57"/>
      <c r="Q36" s="57"/>
      <c r="R36" s="57"/>
      <c r="S36" s="57"/>
      <c r="T36" s="57"/>
      <c r="U36" s="147"/>
      <c r="V36" s="147"/>
      <c r="W36" s="147"/>
      <c r="X36" s="147"/>
      <c r="Y36" s="311">
        <f t="shared" si="16"/>
        <v>1</v>
      </c>
      <c r="Z36" s="75">
        <v>0</v>
      </c>
      <c r="AA36" s="493" t="s">
        <v>1090</v>
      </c>
      <c r="AB36" s="1378">
        <f>SUM(M36:N36)</f>
        <v>1</v>
      </c>
      <c r="AC36" s="1371">
        <f t="shared" si="17"/>
        <v>1</v>
      </c>
      <c r="AD36" s="1509">
        <v>1</v>
      </c>
      <c r="AE36" s="1311">
        <f t="shared" si="18"/>
        <v>1</v>
      </c>
      <c r="AF36" s="1311">
        <f>AD36/Y36</f>
        <v>1</v>
      </c>
      <c r="AG36" s="1311">
        <f aca="true" t="shared" si="27" ref="AG36:AG65">AF36</f>
        <v>1</v>
      </c>
      <c r="AH36" s="1371">
        <f t="shared" si="19"/>
        <v>1</v>
      </c>
      <c r="AI36" s="1378"/>
      <c r="AJ36" s="1378"/>
      <c r="AK36" s="1378"/>
      <c r="AL36" s="1378"/>
      <c r="AM36" s="1692">
        <f t="shared" si="20"/>
        <v>1</v>
      </c>
      <c r="AN36" s="1699">
        <f t="shared" si="21"/>
        <v>1</v>
      </c>
      <c r="AO36" s="1697">
        <v>0</v>
      </c>
      <c r="AP36" s="1699">
        <f aca="true" t="shared" si="28" ref="AP36:AP44">AO36/AM36</f>
        <v>0</v>
      </c>
      <c r="AQ36" s="1699">
        <f>AO36/Y36</f>
        <v>0</v>
      </c>
      <c r="AR36" s="1699">
        <f t="shared" si="22"/>
        <v>0</v>
      </c>
      <c r="AS36" s="1743">
        <v>0</v>
      </c>
      <c r="AT36" s="1692"/>
      <c r="AU36" s="1692" t="s">
        <v>2410</v>
      </c>
      <c r="AV36" s="1692"/>
      <c r="AW36" s="2200">
        <f t="shared" si="23"/>
        <v>1</v>
      </c>
      <c r="AX36" s="2201">
        <f t="shared" si="24"/>
        <v>1</v>
      </c>
      <c r="AY36" s="2200">
        <v>1</v>
      </c>
      <c r="AZ36" s="2201">
        <v>1</v>
      </c>
      <c r="BA36" s="2200"/>
      <c r="BB36" s="2201">
        <v>1</v>
      </c>
      <c r="BC36" s="2202">
        <v>0</v>
      </c>
      <c r="BD36" s="2200" t="s">
        <v>1090</v>
      </c>
      <c r="BE36" s="2084" t="s">
        <v>2423</v>
      </c>
      <c r="BF36" s="2084"/>
      <c r="BG36" s="2474">
        <f aca="true" t="shared" si="29" ref="BG36:BG44">SUM(M36:T36)</f>
        <v>1</v>
      </c>
      <c r="BH36" s="2475">
        <f t="shared" si="25"/>
        <v>1</v>
      </c>
      <c r="BI36" s="2476">
        <v>1</v>
      </c>
      <c r="BJ36" s="2475">
        <v>1</v>
      </c>
      <c r="BK36" s="2475"/>
      <c r="BL36" s="2475">
        <v>1</v>
      </c>
      <c r="BM36" s="2477"/>
      <c r="BN36" s="2474"/>
      <c r="BO36" s="2474"/>
      <c r="BP36" s="2474"/>
    </row>
    <row r="37" spans="1:68" s="49" customFormat="1" ht="26.25" thickBot="1">
      <c r="A37" s="2655"/>
      <c r="B37" s="2655"/>
      <c r="C37" s="2657"/>
      <c r="D37" s="58" t="s">
        <v>678</v>
      </c>
      <c r="E37" s="324" t="s">
        <v>54</v>
      </c>
      <c r="F37" s="309" t="s">
        <v>100</v>
      </c>
      <c r="G37" s="337" t="s">
        <v>679</v>
      </c>
      <c r="H37" s="337" t="s">
        <v>680</v>
      </c>
      <c r="I37" s="328">
        <f t="shared" si="26"/>
        <v>0.1</v>
      </c>
      <c r="J37" s="338" t="s">
        <v>681</v>
      </c>
      <c r="K37" s="117">
        <v>42005</v>
      </c>
      <c r="L37" s="117">
        <v>42369</v>
      </c>
      <c r="M37" s="137"/>
      <c r="N37" s="137"/>
      <c r="O37" s="137"/>
      <c r="P37" s="137"/>
      <c r="Q37" s="137"/>
      <c r="R37" s="137"/>
      <c r="S37" s="137"/>
      <c r="T37" s="137"/>
      <c r="U37" s="138"/>
      <c r="V37" s="138"/>
      <c r="W37" s="138"/>
      <c r="X37" s="138"/>
      <c r="Y37" s="121" t="s">
        <v>100</v>
      </c>
      <c r="Z37" s="75">
        <v>0</v>
      </c>
      <c r="AA37" s="493" t="s">
        <v>1090</v>
      </c>
      <c r="AB37" s="1378" t="s">
        <v>100</v>
      </c>
      <c r="AC37" s="1371">
        <f t="shared" si="17"/>
        <v>1</v>
      </c>
      <c r="AD37" s="1509">
        <v>0</v>
      </c>
      <c r="AE37" s="1311" t="s">
        <v>1090</v>
      </c>
      <c r="AF37" s="1311" t="s">
        <v>1090</v>
      </c>
      <c r="AG37" s="1311">
        <v>0</v>
      </c>
      <c r="AH37" s="1371" t="e">
        <f t="shared" si="19"/>
        <v>#VALUE!</v>
      </c>
      <c r="AI37" s="1378"/>
      <c r="AJ37" s="1378"/>
      <c r="AK37" s="1378" t="s">
        <v>2411</v>
      </c>
      <c r="AL37" s="1378"/>
      <c r="AM37" s="1692">
        <f t="shared" si="20"/>
        <v>0</v>
      </c>
      <c r="AN37" s="1699">
        <f t="shared" si="21"/>
        <v>0</v>
      </c>
      <c r="AO37" s="1697">
        <v>0</v>
      </c>
      <c r="AP37" s="1699" t="s">
        <v>1090</v>
      </c>
      <c r="AQ37" s="1699" t="s">
        <v>1090</v>
      </c>
      <c r="AR37" s="1699" t="str">
        <f t="shared" si="22"/>
        <v>-</v>
      </c>
      <c r="AS37" s="1743">
        <v>0</v>
      </c>
      <c r="AT37" s="1692"/>
      <c r="AU37" s="1692"/>
      <c r="AV37" s="1692"/>
      <c r="AW37" s="2200">
        <f t="shared" si="23"/>
        <v>0</v>
      </c>
      <c r="AX37" s="2201">
        <f t="shared" si="24"/>
        <v>0</v>
      </c>
      <c r="AY37" s="2200" t="s">
        <v>1090</v>
      </c>
      <c r="AZ37" s="2201" t="s">
        <v>1090</v>
      </c>
      <c r="BA37" s="2200"/>
      <c r="BB37" s="2201" t="s">
        <v>1090</v>
      </c>
      <c r="BC37" s="2202">
        <v>0</v>
      </c>
      <c r="BD37" s="2200" t="s">
        <v>1090</v>
      </c>
      <c r="BE37" s="2084" t="s">
        <v>2759</v>
      </c>
      <c r="BF37" s="2084"/>
      <c r="BG37" s="2474">
        <f t="shared" si="29"/>
        <v>0</v>
      </c>
      <c r="BH37" s="2475">
        <f t="shared" si="25"/>
        <v>0</v>
      </c>
      <c r="BI37" s="2476" t="s">
        <v>1090</v>
      </c>
      <c r="BJ37" s="2475" t="s">
        <v>1090</v>
      </c>
      <c r="BK37" s="2475"/>
      <c r="BL37" s="2475" t="s">
        <v>1090</v>
      </c>
      <c r="BM37" s="2477"/>
      <c r="BN37" s="2474"/>
      <c r="BO37" s="2474"/>
      <c r="BP37" s="2474"/>
    </row>
    <row r="38" spans="1:68" s="49" customFormat="1" ht="50.25" thickBot="1">
      <c r="A38" s="2655"/>
      <c r="B38" s="2655"/>
      <c r="C38" s="2657"/>
      <c r="D38" s="58" t="s">
        <v>682</v>
      </c>
      <c r="E38" s="324" t="s">
        <v>54</v>
      </c>
      <c r="F38" s="309" t="s">
        <v>100</v>
      </c>
      <c r="G38" s="337" t="s">
        <v>683</v>
      </c>
      <c r="H38" s="337" t="s">
        <v>684</v>
      </c>
      <c r="I38" s="328">
        <f t="shared" si="26"/>
        <v>0.1</v>
      </c>
      <c r="J38" s="338" t="s">
        <v>685</v>
      </c>
      <c r="K38" s="117">
        <v>42005</v>
      </c>
      <c r="L38" s="117">
        <v>42369</v>
      </c>
      <c r="M38" s="137"/>
      <c r="N38" s="137"/>
      <c r="O38" s="137"/>
      <c r="P38" s="137"/>
      <c r="Q38" s="137"/>
      <c r="R38" s="137"/>
      <c r="S38" s="137"/>
      <c r="T38" s="137"/>
      <c r="U38" s="138"/>
      <c r="V38" s="138"/>
      <c r="W38" s="138"/>
      <c r="X38" s="138"/>
      <c r="Y38" s="121" t="s">
        <v>100</v>
      </c>
      <c r="Z38" s="75">
        <v>0</v>
      </c>
      <c r="AA38" s="493" t="s">
        <v>1090</v>
      </c>
      <c r="AB38" s="1378" t="s">
        <v>100</v>
      </c>
      <c r="AC38" s="1371">
        <f t="shared" si="17"/>
        <v>1</v>
      </c>
      <c r="AD38" s="1509">
        <v>0</v>
      </c>
      <c r="AE38" s="1311" t="s">
        <v>1090</v>
      </c>
      <c r="AF38" s="1311" t="s">
        <v>1090</v>
      </c>
      <c r="AG38" s="1311">
        <v>0</v>
      </c>
      <c r="AH38" s="1371" t="e">
        <f t="shared" si="19"/>
        <v>#VALUE!</v>
      </c>
      <c r="AI38" s="1378"/>
      <c r="AJ38" s="1378"/>
      <c r="AK38" s="1378" t="s">
        <v>2412</v>
      </c>
      <c r="AL38" s="1378"/>
      <c r="AM38" s="1692">
        <f t="shared" si="20"/>
        <v>0</v>
      </c>
      <c r="AN38" s="1699">
        <f t="shared" si="21"/>
        <v>0</v>
      </c>
      <c r="AO38" s="1697">
        <v>0</v>
      </c>
      <c r="AP38" s="1699" t="s">
        <v>1090</v>
      </c>
      <c r="AQ38" s="1699" t="s">
        <v>1090</v>
      </c>
      <c r="AR38" s="1699" t="str">
        <f t="shared" si="22"/>
        <v>-</v>
      </c>
      <c r="AS38" s="1743">
        <v>0</v>
      </c>
      <c r="AT38" s="1692"/>
      <c r="AU38" s="1692" t="s">
        <v>2413</v>
      </c>
      <c r="AV38" s="1692"/>
      <c r="AW38" s="2200">
        <f t="shared" si="23"/>
        <v>0</v>
      </c>
      <c r="AX38" s="2201">
        <f t="shared" si="24"/>
        <v>0</v>
      </c>
      <c r="AY38" s="2200" t="s">
        <v>1090</v>
      </c>
      <c r="AZ38" s="2201" t="s">
        <v>1090</v>
      </c>
      <c r="BA38" s="2200"/>
      <c r="BB38" s="2201" t="s">
        <v>1090</v>
      </c>
      <c r="BC38" s="2202">
        <v>0</v>
      </c>
      <c r="BD38" s="2200" t="s">
        <v>1090</v>
      </c>
      <c r="BE38" s="2084" t="s">
        <v>2760</v>
      </c>
      <c r="BF38" s="2084"/>
      <c r="BG38" s="2474">
        <f t="shared" si="29"/>
        <v>0</v>
      </c>
      <c r="BH38" s="2475">
        <f t="shared" si="25"/>
        <v>0</v>
      </c>
      <c r="BI38" s="2476" t="s">
        <v>1090</v>
      </c>
      <c r="BJ38" s="2475" t="s">
        <v>1090</v>
      </c>
      <c r="BK38" s="2475"/>
      <c r="BL38" s="2475" t="s">
        <v>1090</v>
      </c>
      <c r="BM38" s="2477"/>
      <c r="BN38" s="2474"/>
      <c r="BO38" s="2474"/>
      <c r="BP38" s="2474"/>
    </row>
    <row r="39" spans="1:68" s="49" customFormat="1" ht="50.25" thickBot="1">
      <c r="A39" s="2655"/>
      <c r="B39" s="2655"/>
      <c r="C39" s="2657"/>
      <c r="D39" s="58" t="s">
        <v>686</v>
      </c>
      <c r="E39" s="339" t="s">
        <v>54</v>
      </c>
      <c r="F39" s="309" t="s">
        <v>100</v>
      </c>
      <c r="G39" s="337" t="s">
        <v>687</v>
      </c>
      <c r="H39" s="337" t="s">
        <v>688</v>
      </c>
      <c r="I39" s="328">
        <f t="shared" si="26"/>
        <v>0.1</v>
      </c>
      <c r="J39" s="338" t="s">
        <v>689</v>
      </c>
      <c r="K39" s="117">
        <v>42005</v>
      </c>
      <c r="L39" s="117">
        <v>42369</v>
      </c>
      <c r="M39" s="137"/>
      <c r="N39" s="137"/>
      <c r="O39" s="137"/>
      <c r="P39" s="137"/>
      <c r="Q39" s="137"/>
      <c r="R39" s="137"/>
      <c r="S39" s="137"/>
      <c r="T39" s="137"/>
      <c r="U39" s="138"/>
      <c r="V39" s="138"/>
      <c r="W39" s="138"/>
      <c r="X39" s="138"/>
      <c r="Y39" s="121" t="s">
        <v>100</v>
      </c>
      <c r="Z39" s="75">
        <v>0</v>
      </c>
      <c r="AA39" s="493" t="s">
        <v>1090</v>
      </c>
      <c r="AB39" s="1378" t="s">
        <v>100</v>
      </c>
      <c r="AC39" s="1371">
        <f t="shared" si="17"/>
        <v>1</v>
      </c>
      <c r="AD39" s="1509">
        <v>0</v>
      </c>
      <c r="AE39" s="1311" t="s">
        <v>1090</v>
      </c>
      <c r="AF39" s="1311" t="s">
        <v>1090</v>
      </c>
      <c r="AG39" s="1311">
        <v>0</v>
      </c>
      <c r="AH39" s="1371" t="e">
        <f t="shared" si="19"/>
        <v>#VALUE!</v>
      </c>
      <c r="AI39" s="1378"/>
      <c r="AJ39" s="1378"/>
      <c r="AK39" s="1378" t="s">
        <v>2414</v>
      </c>
      <c r="AL39" s="1378"/>
      <c r="AM39" s="1692">
        <f t="shared" si="20"/>
        <v>0</v>
      </c>
      <c r="AN39" s="1699">
        <f t="shared" si="21"/>
        <v>0</v>
      </c>
      <c r="AO39" s="1697">
        <v>0</v>
      </c>
      <c r="AP39" s="1699" t="s">
        <v>1090</v>
      </c>
      <c r="AQ39" s="1699" t="s">
        <v>1090</v>
      </c>
      <c r="AR39" s="1699" t="str">
        <f t="shared" si="22"/>
        <v>-</v>
      </c>
      <c r="AS39" s="1743">
        <v>0</v>
      </c>
      <c r="AT39" s="1692"/>
      <c r="AU39" s="1692" t="s">
        <v>2415</v>
      </c>
      <c r="AV39" s="1692"/>
      <c r="AW39" s="2200">
        <f t="shared" si="23"/>
        <v>0</v>
      </c>
      <c r="AX39" s="2201">
        <f t="shared" si="24"/>
        <v>0</v>
      </c>
      <c r="AY39" s="2200" t="s">
        <v>1090</v>
      </c>
      <c r="AZ39" s="2201" t="s">
        <v>1090</v>
      </c>
      <c r="BA39" s="2200"/>
      <c r="BB39" s="2201" t="s">
        <v>1090</v>
      </c>
      <c r="BC39" s="2202">
        <v>0</v>
      </c>
      <c r="BD39" s="2200" t="s">
        <v>1090</v>
      </c>
      <c r="BE39" s="2084" t="s">
        <v>2762</v>
      </c>
      <c r="BF39" s="2084"/>
      <c r="BG39" s="2474">
        <f t="shared" si="29"/>
        <v>0</v>
      </c>
      <c r="BH39" s="2475">
        <f t="shared" si="25"/>
        <v>0</v>
      </c>
      <c r="BI39" s="2476" t="s">
        <v>1090</v>
      </c>
      <c r="BJ39" s="2475" t="s">
        <v>1090</v>
      </c>
      <c r="BK39" s="2475"/>
      <c r="BL39" s="2475" t="s">
        <v>1090</v>
      </c>
      <c r="BM39" s="2477"/>
      <c r="BN39" s="2474"/>
      <c r="BO39" s="2474"/>
      <c r="BP39" s="2474"/>
    </row>
    <row r="40" spans="1:68" s="49" customFormat="1" ht="51.75" thickBot="1">
      <c r="A40" s="2655"/>
      <c r="B40" s="2655"/>
      <c r="C40" s="2657"/>
      <c r="D40" s="58" t="s">
        <v>690</v>
      </c>
      <c r="E40" s="340" t="s">
        <v>54</v>
      </c>
      <c r="F40" s="309" t="s">
        <v>100</v>
      </c>
      <c r="G40" s="337" t="s">
        <v>691</v>
      </c>
      <c r="H40" s="337" t="s">
        <v>676</v>
      </c>
      <c r="I40" s="328">
        <f t="shared" si="26"/>
        <v>0.1</v>
      </c>
      <c r="J40" s="338" t="s">
        <v>692</v>
      </c>
      <c r="K40" s="117">
        <v>42005</v>
      </c>
      <c r="L40" s="117">
        <v>42369</v>
      </c>
      <c r="M40" s="137"/>
      <c r="N40" s="137"/>
      <c r="O40" s="137"/>
      <c r="P40" s="137"/>
      <c r="Q40" s="137"/>
      <c r="R40" s="137"/>
      <c r="S40" s="137"/>
      <c r="T40" s="137"/>
      <c r="U40" s="138"/>
      <c r="V40" s="138"/>
      <c r="W40" s="138"/>
      <c r="X40" s="138"/>
      <c r="Y40" s="121" t="s">
        <v>100</v>
      </c>
      <c r="Z40" s="75">
        <v>0</v>
      </c>
      <c r="AA40" s="493" t="s">
        <v>1090</v>
      </c>
      <c r="AB40" s="1378" t="s">
        <v>100</v>
      </c>
      <c r="AC40" s="1371">
        <f t="shared" si="17"/>
        <v>1</v>
      </c>
      <c r="AD40" s="1509">
        <v>0</v>
      </c>
      <c r="AE40" s="1311" t="s">
        <v>1090</v>
      </c>
      <c r="AF40" s="1311" t="s">
        <v>1090</v>
      </c>
      <c r="AG40" s="1311">
        <v>0</v>
      </c>
      <c r="AH40" s="1371" t="e">
        <f t="shared" si="19"/>
        <v>#VALUE!</v>
      </c>
      <c r="AI40" s="1378"/>
      <c r="AJ40" s="1378"/>
      <c r="AK40" s="1378" t="s">
        <v>2416</v>
      </c>
      <c r="AL40" s="1378"/>
      <c r="AM40" s="1692">
        <f t="shared" si="20"/>
        <v>0</v>
      </c>
      <c r="AN40" s="1699">
        <f t="shared" si="21"/>
        <v>0</v>
      </c>
      <c r="AO40" s="1697">
        <v>0</v>
      </c>
      <c r="AP40" s="1699" t="s">
        <v>1090</v>
      </c>
      <c r="AQ40" s="1699" t="s">
        <v>1090</v>
      </c>
      <c r="AR40" s="1699" t="str">
        <f t="shared" si="22"/>
        <v>-</v>
      </c>
      <c r="AS40" s="1743">
        <v>0</v>
      </c>
      <c r="AT40" s="1692"/>
      <c r="AU40" s="1692"/>
      <c r="AV40" s="1692"/>
      <c r="AW40" s="2200">
        <f t="shared" si="23"/>
        <v>0</v>
      </c>
      <c r="AX40" s="2201">
        <f t="shared" si="24"/>
        <v>0</v>
      </c>
      <c r="AY40" s="2200" t="s">
        <v>1090</v>
      </c>
      <c r="AZ40" s="2201" t="s">
        <v>1090</v>
      </c>
      <c r="BA40" s="2200"/>
      <c r="BB40" s="2201" t="s">
        <v>1090</v>
      </c>
      <c r="BC40" s="2202">
        <v>0</v>
      </c>
      <c r="BD40" s="2200" t="s">
        <v>1090</v>
      </c>
      <c r="BE40" s="2084" t="s">
        <v>2763</v>
      </c>
      <c r="BF40" s="2084"/>
      <c r="BG40" s="2474">
        <f t="shared" si="29"/>
        <v>0</v>
      </c>
      <c r="BH40" s="2475">
        <f t="shared" si="25"/>
        <v>0</v>
      </c>
      <c r="BI40" s="2476" t="s">
        <v>1090</v>
      </c>
      <c r="BJ40" s="2475" t="s">
        <v>1090</v>
      </c>
      <c r="BK40" s="2475"/>
      <c r="BL40" s="2475" t="s">
        <v>1090</v>
      </c>
      <c r="BM40" s="2477"/>
      <c r="BN40" s="2474"/>
      <c r="BO40" s="2474"/>
      <c r="BP40" s="2474"/>
    </row>
    <row r="41" spans="1:68" s="49" customFormat="1" ht="51.75" thickBot="1">
      <c r="A41" s="2655"/>
      <c r="B41" s="2655"/>
      <c r="C41" s="2657"/>
      <c r="D41" s="58" t="s">
        <v>693</v>
      </c>
      <c r="E41" s="340" t="s">
        <v>54</v>
      </c>
      <c r="F41" s="341">
        <v>24</v>
      </c>
      <c r="G41" s="337" t="s">
        <v>694</v>
      </c>
      <c r="H41" s="337" t="s">
        <v>680</v>
      </c>
      <c r="I41" s="328">
        <f t="shared" si="26"/>
        <v>0.1</v>
      </c>
      <c r="J41" s="338" t="s">
        <v>695</v>
      </c>
      <c r="K41" s="117">
        <v>42005</v>
      </c>
      <c r="L41" s="117">
        <v>42369</v>
      </c>
      <c r="M41" s="137">
        <v>2</v>
      </c>
      <c r="N41" s="137">
        <v>2</v>
      </c>
      <c r="O41" s="137">
        <v>2</v>
      </c>
      <c r="P41" s="137">
        <v>2</v>
      </c>
      <c r="Q41" s="137">
        <v>2</v>
      </c>
      <c r="R41" s="137">
        <v>2</v>
      </c>
      <c r="S41" s="137">
        <v>2</v>
      </c>
      <c r="T41" s="137">
        <v>2</v>
      </c>
      <c r="U41" s="137">
        <v>2</v>
      </c>
      <c r="V41" s="137">
        <v>2</v>
      </c>
      <c r="W41" s="137">
        <v>2</v>
      </c>
      <c r="X41" s="137">
        <v>2</v>
      </c>
      <c r="Y41" s="311">
        <f aca="true" t="shared" si="30" ref="Y41:Y44">+SUM(M41:X41)</f>
        <v>24</v>
      </c>
      <c r="Z41" s="75">
        <v>0</v>
      </c>
      <c r="AA41" s="493" t="s">
        <v>1090</v>
      </c>
      <c r="AB41" s="1378">
        <f>SUM(M41:N41)</f>
        <v>4</v>
      </c>
      <c r="AC41" s="1371">
        <f t="shared" si="17"/>
        <v>1</v>
      </c>
      <c r="AD41" s="1509">
        <v>4</v>
      </c>
      <c r="AE41" s="1311">
        <f t="shared" si="18"/>
        <v>1</v>
      </c>
      <c r="AF41" s="1311">
        <f>AD41/Y41</f>
        <v>0.16666666666666666</v>
      </c>
      <c r="AG41" s="1311">
        <f t="shared" si="27"/>
        <v>0.16666666666666666</v>
      </c>
      <c r="AH41" s="1371">
        <f t="shared" si="19"/>
        <v>1</v>
      </c>
      <c r="AI41" s="1378"/>
      <c r="AJ41" s="1378"/>
      <c r="AK41" s="1378"/>
      <c r="AL41" s="1378"/>
      <c r="AM41" s="1692">
        <f t="shared" si="20"/>
        <v>8</v>
      </c>
      <c r="AN41" s="1699">
        <f t="shared" si="21"/>
        <v>1</v>
      </c>
      <c r="AO41" s="1697">
        <v>4</v>
      </c>
      <c r="AP41" s="1699">
        <f t="shared" si="28"/>
        <v>0.5</v>
      </c>
      <c r="AQ41" s="1699">
        <f>AO41/Y41</f>
        <v>0.16666666666666666</v>
      </c>
      <c r="AR41" s="1699">
        <f t="shared" si="22"/>
        <v>0.5</v>
      </c>
      <c r="AS41" s="1743">
        <v>0</v>
      </c>
      <c r="AT41" s="1692"/>
      <c r="AU41" s="1692"/>
      <c r="AV41" s="1692"/>
      <c r="AW41" s="2200">
        <f t="shared" si="23"/>
        <v>12</v>
      </c>
      <c r="AX41" s="2201">
        <f t="shared" si="24"/>
        <v>1</v>
      </c>
      <c r="AY41" s="2200">
        <v>12</v>
      </c>
      <c r="AZ41" s="2201">
        <v>1</v>
      </c>
      <c r="BA41" s="2200"/>
      <c r="BB41" s="2201">
        <v>0.5</v>
      </c>
      <c r="BC41" s="2202">
        <v>0</v>
      </c>
      <c r="BD41" s="2200" t="s">
        <v>1090</v>
      </c>
      <c r="BE41" s="2084"/>
      <c r="BF41" s="2084"/>
      <c r="BG41" s="2474">
        <f t="shared" si="29"/>
        <v>16</v>
      </c>
      <c r="BH41" s="2475">
        <f t="shared" si="25"/>
        <v>1</v>
      </c>
      <c r="BI41" s="2476">
        <v>16</v>
      </c>
      <c r="BJ41" s="2475">
        <v>1</v>
      </c>
      <c r="BK41" s="2475"/>
      <c r="BL41" s="2475">
        <f>BI41/Y41</f>
        <v>0.6666666666666666</v>
      </c>
      <c r="BM41" s="2477"/>
      <c r="BN41" s="2474"/>
      <c r="BO41" s="2474"/>
      <c r="BP41" s="2474"/>
    </row>
    <row r="42" spans="1:68" s="49" customFormat="1" ht="39" thickBot="1">
      <c r="A42" s="2655"/>
      <c r="B42" s="2655"/>
      <c r="C42" s="2657"/>
      <c r="D42" s="58" t="s">
        <v>696</v>
      </c>
      <c r="E42" s="340" t="s">
        <v>54</v>
      </c>
      <c r="F42" s="309" t="s">
        <v>100</v>
      </c>
      <c r="G42" s="337" t="s">
        <v>697</v>
      </c>
      <c r="H42" s="337" t="s">
        <v>676</v>
      </c>
      <c r="I42" s="328">
        <f t="shared" si="26"/>
        <v>0.1</v>
      </c>
      <c r="J42" s="338" t="s">
        <v>681</v>
      </c>
      <c r="K42" s="117">
        <v>42005</v>
      </c>
      <c r="L42" s="117">
        <v>42369</v>
      </c>
      <c r="M42" s="137"/>
      <c r="N42" s="137"/>
      <c r="O42" s="137"/>
      <c r="P42" s="137"/>
      <c r="Q42" s="137"/>
      <c r="R42" s="137"/>
      <c r="S42" s="137"/>
      <c r="T42" s="137"/>
      <c r="U42" s="138"/>
      <c r="V42" s="138"/>
      <c r="W42" s="138"/>
      <c r="X42" s="138"/>
      <c r="Y42" s="121" t="s">
        <v>100</v>
      </c>
      <c r="Z42" s="75">
        <v>0</v>
      </c>
      <c r="AA42" s="493" t="s">
        <v>1090</v>
      </c>
      <c r="AB42" s="1378">
        <f>SUM(M42:N42)</f>
        <v>0</v>
      </c>
      <c r="AC42" s="1371">
        <f t="shared" si="17"/>
        <v>0</v>
      </c>
      <c r="AD42" s="1509">
        <v>0</v>
      </c>
      <c r="AE42" s="1311" t="s">
        <v>1090</v>
      </c>
      <c r="AF42" s="1311" t="s">
        <v>1090</v>
      </c>
      <c r="AG42" s="1311">
        <v>0</v>
      </c>
      <c r="AH42" s="1371" t="e">
        <f t="shared" si="19"/>
        <v>#DIV/0!</v>
      </c>
      <c r="AI42" s="1378"/>
      <c r="AJ42" s="1378"/>
      <c r="AK42" s="1378" t="s">
        <v>2416</v>
      </c>
      <c r="AL42" s="1378"/>
      <c r="AM42" s="1692">
        <f t="shared" si="20"/>
        <v>0</v>
      </c>
      <c r="AN42" s="1699">
        <f t="shared" si="21"/>
        <v>0</v>
      </c>
      <c r="AO42" s="1697">
        <v>0</v>
      </c>
      <c r="AP42" s="1699" t="s">
        <v>1090</v>
      </c>
      <c r="AQ42" s="1699" t="s">
        <v>1090</v>
      </c>
      <c r="AR42" s="1699" t="str">
        <f t="shared" si="22"/>
        <v>-</v>
      </c>
      <c r="AS42" s="1743">
        <v>0</v>
      </c>
      <c r="AT42" s="1692"/>
      <c r="AU42" s="1692"/>
      <c r="AV42" s="1692"/>
      <c r="AW42" s="2200">
        <f t="shared" si="23"/>
        <v>0</v>
      </c>
      <c r="AX42" s="2201">
        <f t="shared" si="24"/>
        <v>0</v>
      </c>
      <c r="AY42" s="2200" t="s">
        <v>1090</v>
      </c>
      <c r="AZ42" s="2201" t="s">
        <v>1090</v>
      </c>
      <c r="BA42" s="2200"/>
      <c r="BB42" s="2201" t="s">
        <v>1090</v>
      </c>
      <c r="BC42" s="2202">
        <v>0</v>
      </c>
      <c r="BD42" s="2200" t="s">
        <v>1090</v>
      </c>
      <c r="BE42" s="2084" t="s">
        <v>2764</v>
      </c>
      <c r="BF42" s="2084"/>
      <c r="BG42" s="2474">
        <f t="shared" si="29"/>
        <v>0</v>
      </c>
      <c r="BH42" s="2475">
        <f t="shared" si="25"/>
        <v>0</v>
      </c>
      <c r="BI42" s="2476" t="s">
        <v>1090</v>
      </c>
      <c r="BJ42" s="2475" t="s">
        <v>1090</v>
      </c>
      <c r="BK42" s="2475"/>
      <c r="BL42" s="2475" t="s">
        <v>1090</v>
      </c>
      <c r="BM42" s="2477"/>
      <c r="BN42" s="2474"/>
      <c r="BO42" s="2474"/>
      <c r="BP42" s="2474"/>
    </row>
    <row r="43" spans="1:68" s="49" customFormat="1" ht="69" customHeight="1" thickBot="1">
      <c r="A43" s="2655"/>
      <c r="B43" s="2655"/>
      <c r="C43" s="2656" t="s">
        <v>70</v>
      </c>
      <c r="D43" s="58" t="s">
        <v>698</v>
      </c>
      <c r="E43" s="340" t="s">
        <v>54</v>
      </c>
      <c r="F43" s="341">
        <v>1</v>
      </c>
      <c r="G43" s="337" t="s">
        <v>699</v>
      </c>
      <c r="H43" s="337" t="s">
        <v>680</v>
      </c>
      <c r="I43" s="328">
        <f t="shared" si="26"/>
        <v>0.1</v>
      </c>
      <c r="J43" s="338" t="s">
        <v>700</v>
      </c>
      <c r="K43" s="117">
        <v>42005</v>
      </c>
      <c r="L43" s="117">
        <v>42369</v>
      </c>
      <c r="M43" s="137"/>
      <c r="N43" s="137"/>
      <c r="O43" s="137"/>
      <c r="P43" s="137"/>
      <c r="Q43" s="137"/>
      <c r="R43" s="137"/>
      <c r="S43" s="137"/>
      <c r="T43" s="137"/>
      <c r="U43" s="138"/>
      <c r="V43" s="138"/>
      <c r="W43" s="138"/>
      <c r="X43" s="138">
        <v>1</v>
      </c>
      <c r="Y43" s="311">
        <f t="shared" si="30"/>
        <v>1</v>
      </c>
      <c r="Z43" s="75">
        <v>0</v>
      </c>
      <c r="AA43" s="493" t="s">
        <v>1090</v>
      </c>
      <c r="AB43" s="1378">
        <f>SUM(M43:N43)</f>
        <v>0</v>
      </c>
      <c r="AC43" s="1371">
        <f t="shared" si="17"/>
        <v>0</v>
      </c>
      <c r="AD43" s="1509">
        <v>0</v>
      </c>
      <c r="AE43" s="1311" t="s">
        <v>1090</v>
      </c>
      <c r="AF43" s="1311">
        <f>AD43/Y43</f>
        <v>0</v>
      </c>
      <c r="AG43" s="1311">
        <f t="shared" si="27"/>
        <v>0</v>
      </c>
      <c r="AH43" s="1328" t="e">
        <f t="shared" si="19"/>
        <v>#DIV/0!</v>
      </c>
      <c r="AI43" s="1378"/>
      <c r="AJ43" s="1378"/>
      <c r="AK43" s="1378"/>
      <c r="AL43" s="1378"/>
      <c r="AM43" s="1692">
        <f t="shared" si="20"/>
        <v>0</v>
      </c>
      <c r="AN43" s="1699">
        <f t="shared" si="21"/>
        <v>0</v>
      </c>
      <c r="AO43" s="1697">
        <v>0</v>
      </c>
      <c r="AP43" s="1699" t="s">
        <v>1090</v>
      </c>
      <c r="AQ43" s="1699">
        <f>AO43/Y43</f>
        <v>0</v>
      </c>
      <c r="AR43" s="1699">
        <v>0</v>
      </c>
      <c r="AS43" s="1743">
        <v>0</v>
      </c>
      <c r="AT43" s="1692"/>
      <c r="AU43" s="1692"/>
      <c r="AV43" s="1692"/>
      <c r="AW43" s="2200">
        <f t="shared" si="23"/>
        <v>0</v>
      </c>
      <c r="AX43" s="2201">
        <f t="shared" si="24"/>
        <v>0</v>
      </c>
      <c r="AY43" s="2200" t="s">
        <v>1090</v>
      </c>
      <c r="AZ43" s="2201" t="s">
        <v>1090</v>
      </c>
      <c r="BA43" s="2200"/>
      <c r="BB43" s="2201">
        <v>0</v>
      </c>
      <c r="BC43" s="2202">
        <v>0</v>
      </c>
      <c r="BD43" s="2200" t="s">
        <v>1090</v>
      </c>
      <c r="BE43" s="2084"/>
      <c r="BF43" s="2084"/>
      <c r="BG43" s="2474">
        <f t="shared" si="29"/>
        <v>0</v>
      </c>
      <c r="BH43" s="2475">
        <f t="shared" si="25"/>
        <v>0</v>
      </c>
      <c r="BI43" s="2476" t="s">
        <v>1090</v>
      </c>
      <c r="BJ43" s="2475" t="s">
        <v>1090</v>
      </c>
      <c r="BK43" s="2475"/>
      <c r="BL43" s="2475">
        <v>0</v>
      </c>
      <c r="BM43" s="2477"/>
      <c r="BN43" s="2474"/>
      <c r="BO43" s="2474"/>
      <c r="BP43" s="2474"/>
    </row>
    <row r="44" spans="1:68" s="49" customFormat="1" ht="39" thickBot="1">
      <c r="A44" s="2655"/>
      <c r="B44" s="2655"/>
      <c r="C44" s="2657"/>
      <c r="D44" s="58" t="s">
        <v>701</v>
      </c>
      <c r="E44" s="340" t="s">
        <v>54</v>
      </c>
      <c r="F44" s="341">
        <v>12</v>
      </c>
      <c r="G44" s="337" t="s">
        <v>702</v>
      </c>
      <c r="H44" s="337" t="s">
        <v>680</v>
      </c>
      <c r="I44" s="342">
        <f t="shared" si="26"/>
        <v>0.1</v>
      </c>
      <c r="J44" s="338" t="s">
        <v>703</v>
      </c>
      <c r="K44" s="117">
        <v>42005</v>
      </c>
      <c r="L44" s="117">
        <v>42369</v>
      </c>
      <c r="M44" s="137">
        <v>1</v>
      </c>
      <c r="N44" s="137">
        <v>1</v>
      </c>
      <c r="O44" s="137">
        <v>1</v>
      </c>
      <c r="P44" s="137">
        <v>1</v>
      </c>
      <c r="Q44" s="137">
        <v>1</v>
      </c>
      <c r="R44" s="137">
        <v>1</v>
      </c>
      <c r="S44" s="137">
        <v>1</v>
      </c>
      <c r="T44" s="137">
        <v>1</v>
      </c>
      <c r="U44" s="138">
        <v>1</v>
      </c>
      <c r="V44" s="138">
        <v>1</v>
      </c>
      <c r="W44" s="138">
        <v>1</v>
      </c>
      <c r="X44" s="138">
        <v>1</v>
      </c>
      <c r="Y44" s="311">
        <f t="shared" si="30"/>
        <v>12</v>
      </c>
      <c r="Z44" s="75">
        <v>0</v>
      </c>
      <c r="AA44" s="493" t="s">
        <v>1090</v>
      </c>
      <c r="AB44" s="1378">
        <f>SUM(M44:N44)</f>
        <v>2</v>
      </c>
      <c r="AC44" s="1371">
        <f t="shared" si="17"/>
        <v>1</v>
      </c>
      <c r="AD44" s="1509">
        <v>2</v>
      </c>
      <c r="AE44" s="1311">
        <f t="shared" si="18"/>
        <v>1</v>
      </c>
      <c r="AF44" s="1311">
        <f>AD44/Y44</f>
        <v>0.16666666666666666</v>
      </c>
      <c r="AG44" s="1311">
        <f t="shared" si="27"/>
        <v>0.16666666666666666</v>
      </c>
      <c r="AH44" s="1371">
        <f t="shared" si="19"/>
        <v>1</v>
      </c>
      <c r="AI44" s="1378"/>
      <c r="AJ44" s="1378"/>
      <c r="AK44" s="1378"/>
      <c r="AL44" s="1378"/>
      <c r="AM44" s="1692">
        <f t="shared" si="20"/>
        <v>4</v>
      </c>
      <c r="AN44" s="1699">
        <f t="shared" si="21"/>
        <v>1</v>
      </c>
      <c r="AO44" s="1697">
        <v>2</v>
      </c>
      <c r="AP44" s="1699">
        <f t="shared" si="28"/>
        <v>0.5</v>
      </c>
      <c r="AQ44" s="1699">
        <f>AO44/Y44</f>
        <v>0.16666666666666666</v>
      </c>
      <c r="AR44" s="1699">
        <f t="shared" si="22"/>
        <v>0.5</v>
      </c>
      <c r="AS44" s="1743">
        <v>0</v>
      </c>
      <c r="AT44" s="1692"/>
      <c r="AU44" s="1692"/>
      <c r="AV44" s="1692"/>
      <c r="AW44" s="2200">
        <f t="shared" si="23"/>
        <v>6</v>
      </c>
      <c r="AX44" s="2201">
        <f t="shared" si="24"/>
        <v>1</v>
      </c>
      <c r="AY44" s="2200">
        <v>6</v>
      </c>
      <c r="AZ44" s="2201">
        <v>1</v>
      </c>
      <c r="BA44" s="2200"/>
      <c r="BB44" s="2201">
        <v>0.5</v>
      </c>
      <c r="BC44" s="2202">
        <v>0</v>
      </c>
      <c r="BD44" s="2200" t="s">
        <v>1090</v>
      </c>
      <c r="BE44" s="2084" t="s">
        <v>2765</v>
      </c>
      <c r="BF44" s="2084"/>
      <c r="BG44" s="2474">
        <f t="shared" si="29"/>
        <v>8</v>
      </c>
      <c r="BH44" s="2475">
        <f t="shared" si="25"/>
        <v>1</v>
      </c>
      <c r="BI44" s="2476">
        <v>8</v>
      </c>
      <c r="BJ44" s="2475">
        <v>1</v>
      </c>
      <c r="BK44" s="2475"/>
      <c r="BL44" s="2475">
        <f>BI44/Y44</f>
        <v>0.6666666666666666</v>
      </c>
      <c r="BM44" s="2477"/>
      <c r="BN44" s="2474"/>
      <c r="BO44" s="2474"/>
      <c r="BP44" s="2474"/>
    </row>
    <row r="45" spans="1:68" s="606" customFormat="1" ht="18" customHeight="1" thickBot="1">
      <c r="A45" s="2652" t="s">
        <v>130</v>
      </c>
      <c r="B45" s="2653"/>
      <c r="C45" s="2653"/>
      <c r="D45" s="2654"/>
      <c r="E45" s="1779"/>
      <c r="F45" s="1779"/>
      <c r="G45" s="1779"/>
      <c r="H45" s="1779"/>
      <c r="I45" s="157">
        <f>SUM(I35:I44)</f>
        <v>0.9999999999999999</v>
      </c>
      <c r="J45" s="1779"/>
      <c r="K45" s="1779"/>
      <c r="L45" s="1779"/>
      <c r="M45" s="1779"/>
      <c r="N45" s="1779"/>
      <c r="O45" s="1779"/>
      <c r="P45" s="1779"/>
      <c r="Q45" s="1779"/>
      <c r="R45" s="1779"/>
      <c r="S45" s="1779"/>
      <c r="T45" s="1779"/>
      <c r="U45" s="1779"/>
      <c r="V45" s="1779"/>
      <c r="W45" s="1779"/>
      <c r="X45" s="1779"/>
      <c r="Y45" s="87"/>
      <c r="Z45" s="218">
        <f>SUM(Z35:Z44)</f>
        <v>0</v>
      </c>
      <c r="AA45" s="1780"/>
      <c r="AB45" s="1502"/>
      <c r="AC45" s="1545">
        <f>AVERAGEIF(AC35:AC44,"&gt;0")</f>
        <v>1</v>
      </c>
      <c r="AD45" s="1515"/>
      <c r="AE45" s="1501">
        <f>AVERAGE(AE35:AE44)</f>
        <v>1</v>
      </c>
      <c r="AF45" s="1501">
        <f>AVERAGE(AF35:AF44)</f>
        <v>0.4666666666666666</v>
      </c>
      <c r="AG45" s="1501">
        <f>AVERAGE(AG35:AG44)</f>
        <v>0.2333333333333333</v>
      </c>
      <c r="AH45" s="1862" t="e">
        <f>AVERAGE(AH35:AH44)</f>
        <v>#VALUE!</v>
      </c>
      <c r="AI45" s="1863">
        <f>SUM(AI35:AI44)</f>
        <v>0</v>
      </c>
      <c r="AJ45" s="1863"/>
      <c r="AK45" s="1324"/>
      <c r="AL45" s="1324"/>
      <c r="AM45" s="1325"/>
      <c r="AN45" s="1875">
        <f>AVERAGEIF(AN32:AN44,"&gt;0")</f>
        <v>1</v>
      </c>
      <c r="AO45" s="1325"/>
      <c r="AP45" s="1877">
        <f>AVERAGE(AP35:AP44)</f>
        <v>0.25</v>
      </c>
      <c r="AQ45" s="1325"/>
      <c r="AR45" s="1877">
        <f>AVERAGE(AR35:AR44)</f>
        <v>0.2</v>
      </c>
      <c r="AS45" s="1325"/>
      <c r="AT45" s="1325"/>
      <c r="AU45" s="1325"/>
      <c r="AV45" s="1325"/>
      <c r="AW45" s="2204"/>
      <c r="AX45" s="2204">
        <v>1</v>
      </c>
      <c r="AY45" s="2204"/>
      <c r="AZ45" s="2204">
        <f>AVERAGE(AZ35:AZ44)</f>
        <v>1</v>
      </c>
      <c r="BA45" s="2204"/>
      <c r="BB45" s="2204">
        <f>AVERAGE(BB35:BB44)</f>
        <v>0.6</v>
      </c>
      <c r="BC45" s="1325"/>
      <c r="BD45" s="1325"/>
      <c r="BE45" s="1325"/>
      <c r="BF45" s="1325"/>
      <c r="BG45" s="1325"/>
      <c r="BH45" s="1721">
        <v>1</v>
      </c>
      <c r="BI45" s="1325"/>
      <c r="BJ45" s="1261">
        <f>AVERAGE(BJ35:BJ44)</f>
        <v>1</v>
      </c>
      <c r="BK45" s="1325"/>
      <c r="BL45" s="1261">
        <f>AVERAGE(BL35:BL44)</f>
        <v>0.6666666666666666</v>
      </c>
      <c r="BM45" s="1325"/>
      <c r="BN45" s="1325"/>
      <c r="BO45" s="1325"/>
      <c r="BP45" s="1325"/>
    </row>
    <row r="46" spans="1:68" s="49" customFormat="1" ht="39" thickBot="1">
      <c r="A46" s="2658">
        <v>2</v>
      </c>
      <c r="B46" s="2658" t="s">
        <v>704</v>
      </c>
      <c r="C46" s="2777" t="s">
        <v>705</v>
      </c>
      <c r="D46" s="94" t="s">
        <v>706</v>
      </c>
      <c r="E46" s="309" t="s">
        <v>54</v>
      </c>
      <c r="F46" s="309">
        <v>48</v>
      </c>
      <c r="G46" s="309" t="s">
        <v>707</v>
      </c>
      <c r="H46" s="309" t="s">
        <v>684</v>
      </c>
      <c r="I46" s="310">
        <f>100%/13</f>
        <v>0.07692307692307693</v>
      </c>
      <c r="J46" s="309" t="s">
        <v>708</v>
      </c>
      <c r="K46" s="67">
        <v>42005</v>
      </c>
      <c r="L46" s="67">
        <v>42369</v>
      </c>
      <c r="M46" s="114">
        <v>4</v>
      </c>
      <c r="N46" s="114">
        <v>4</v>
      </c>
      <c r="O46" s="114">
        <v>4</v>
      </c>
      <c r="P46" s="114">
        <v>4</v>
      </c>
      <c r="Q46" s="114">
        <v>4</v>
      </c>
      <c r="R46" s="115">
        <v>4</v>
      </c>
      <c r="S46" s="115">
        <v>4</v>
      </c>
      <c r="T46" s="114">
        <v>4</v>
      </c>
      <c r="U46" s="115">
        <v>4</v>
      </c>
      <c r="V46" s="115">
        <v>4</v>
      </c>
      <c r="W46" s="115">
        <v>4</v>
      </c>
      <c r="X46" s="115">
        <v>4</v>
      </c>
      <c r="Y46" s="311">
        <f aca="true" t="shared" si="31" ref="Y46:Y57">+SUM(M46:X46)</f>
        <v>48</v>
      </c>
      <c r="Z46" s="75">
        <v>0</v>
      </c>
      <c r="AA46" s="493" t="s">
        <v>1090</v>
      </c>
      <c r="AB46" s="1378">
        <f aca="true" t="shared" si="32" ref="AB46:AB57">SUM(M46:N46)</f>
        <v>8</v>
      </c>
      <c r="AC46" s="1371">
        <f t="shared" si="17"/>
        <v>1</v>
      </c>
      <c r="AD46" s="1509">
        <v>8</v>
      </c>
      <c r="AE46" s="1311">
        <f t="shared" si="18"/>
        <v>1</v>
      </c>
      <c r="AF46" s="1311">
        <f aca="true" t="shared" si="33" ref="AF46:AF57">AD46/Y46</f>
        <v>0.16666666666666666</v>
      </c>
      <c r="AG46" s="1311">
        <f t="shared" si="27"/>
        <v>0.16666666666666666</v>
      </c>
      <c r="AH46" s="1371">
        <f t="shared" si="19"/>
        <v>1</v>
      </c>
      <c r="AI46" s="1378"/>
      <c r="AJ46" s="1371"/>
      <c r="AK46" s="1378"/>
      <c r="AL46" s="1378"/>
      <c r="AM46" s="1692">
        <f aca="true" t="shared" si="34" ref="AM46:AM58">SUM(M46:P46)</f>
        <v>16</v>
      </c>
      <c r="AN46" s="1699">
        <f t="shared" si="21"/>
        <v>1</v>
      </c>
      <c r="AO46" s="1697">
        <v>8</v>
      </c>
      <c r="AP46" s="1699">
        <f>AO46/AM46</f>
        <v>0.5</v>
      </c>
      <c r="AQ46" s="1699">
        <f aca="true" t="shared" si="35" ref="AQ46:AQ57">AO46/Y46</f>
        <v>0.16666666666666666</v>
      </c>
      <c r="AR46" s="1699">
        <f t="shared" si="22"/>
        <v>0.5</v>
      </c>
      <c r="AS46" s="1743">
        <v>0</v>
      </c>
      <c r="AT46" s="1692"/>
      <c r="AU46" s="1692" t="s">
        <v>2417</v>
      </c>
      <c r="AV46" s="1692"/>
      <c r="AW46" s="2200">
        <f aca="true" t="shared" si="36" ref="AW46:AW58">SUM(M46:R46)</f>
        <v>24</v>
      </c>
      <c r="AX46" s="2201">
        <f t="shared" si="24"/>
        <v>1</v>
      </c>
      <c r="AY46" s="2200">
        <v>24</v>
      </c>
      <c r="AZ46" s="2201">
        <v>1</v>
      </c>
      <c r="BA46" s="2200"/>
      <c r="BB46" s="2201">
        <v>0.5</v>
      </c>
      <c r="BC46" s="2202">
        <v>0</v>
      </c>
      <c r="BD46" s="2200" t="s">
        <v>1090</v>
      </c>
      <c r="BE46" s="2084"/>
      <c r="BF46" s="2084"/>
      <c r="BG46" s="2474">
        <f>SUM(M46:T46)</f>
        <v>32</v>
      </c>
      <c r="BH46" s="2475">
        <f t="shared" si="25"/>
        <v>1</v>
      </c>
      <c r="BI46" s="2476">
        <v>32</v>
      </c>
      <c r="BJ46" s="2475">
        <v>1</v>
      </c>
      <c r="BK46" s="2475"/>
      <c r="BL46" s="2475">
        <f>BI46/Y46</f>
        <v>0.6666666666666666</v>
      </c>
      <c r="BM46" s="2477"/>
      <c r="BN46" s="2474"/>
      <c r="BO46" s="2474"/>
      <c r="BP46" s="2474"/>
    </row>
    <row r="47" spans="1:68" s="49" customFormat="1" ht="64.5" thickBot="1">
      <c r="A47" s="2655"/>
      <c r="B47" s="2655"/>
      <c r="C47" s="2657"/>
      <c r="D47" s="94" t="s">
        <v>709</v>
      </c>
      <c r="E47" s="309" t="s">
        <v>54</v>
      </c>
      <c r="F47" s="309">
        <v>4</v>
      </c>
      <c r="G47" s="309" t="s">
        <v>710</v>
      </c>
      <c r="H47" s="309" t="s">
        <v>711</v>
      </c>
      <c r="I47" s="310">
        <f aca="true" t="shared" si="37" ref="I47:I58">100%/13</f>
        <v>0.07692307692307693</v>
      </c>
      <c r="J47" s="309" t="s">
        <v>712</v>
      </c>
      <c r="K47" s="117">
        <v>42005</v>
      </c>
      <c r="L47" s="117">
        <v>42369</v>
      </c>
      <c r="M47" s="125"/>
      <c r="N47" s="125">
        <v>1</v>
      </c>
      <c r="O47" s="125"/>
      <c r="P47" s="125">
        <v>1</v>
      </c>
      <c r="Q47" s="125"/>
      <c r="R47" s="126"/>
      <c r="S47" s="126">
        <v>1</v>
      </c>
      <c r="T47" s="125"/>
      <c r="U47" s="126"/>
      <c r="V47" s="126">
        <v>1</v>
      </c>
      <c r="W47" s="126"/>
      <c r="X47" s="126"/>
      <c r="Y47" s="311">
        <f t="shared" si="31"/>
        <v>4</v>
      </c>
      <c r="Z47" s="75">
        <v>0</v>
      </c>
      <c r="AA47" s="493" t="s">
        <v>1090</v>
      </c>
      <c r="AB47" s="1378">
        <f t="shared" si="32"/>
        <v>1</v>
      </c>
      <c r="AC47" s="1371">
        <f t="shared" si="17"/>
        <v>1</v>
      </c>
      <c r="AD47" s="1509">
        <v>1</v>
      </c>
      <c r="AE47" s="1311">
        <f t="shared" si="18"/>
        <v>1</v>
      </c>
      <c r="AF47" s="1311">
        <f t="shared" si="33"/>
        <v>0.25</v>
      </c>
      <c r="AG47" s="1311">
        <f t="shared" si="27"/>
        <v>0.25</v>
      </c>
      <c r="AH47" s="1371">
        <f t="shared" si="19"/>
        <v>1</v>
      </c>
      <c r="AI47" s="1378"/>
      <c r="AJ47" s="1371"/>
      <c r="AK47" s="1378"/>
      <c r="AL47" s="1378"/>
      <c r="AM47" s="1692">
        <f t="shared" si="34"/>
        <v>2</v>
      </c>
      <c r="AN47" s="1699">
        <f t="shared" si="21"/>
        <v>1</v>
      </c>
      <c r="AO47" s="1697">
        <v>1</v>
      </c>
      <c r="AP47" s="1699">
        <f aca="true" t="shared" si="38" ref="AP47:AP57">AO47/AM47</f>
        <v>0.5</v>
      </c>
      <c r="AQ47" s="1699">
        <f t="shared" si="35"/>
        <v>0.25</v>
      </c>
      <c r="AR47" s="1699">
        <f t="shared" si="22"/>
        <v>0.5</v>
      </c>
      <c r="AS47" s="1743">
        <v>0</v>
      </c>
      <c r="AT47" s="1692"/>
      <c r="AU47" s="1692"/>
      <c r="AV47" s="1692"/>
      <c r="AW47" s="2200">
        <f t="shared" si="36"/>
        <v>2</v>
      </c>
      <c r="AX47" s="2201">
        <f t="shared" si="24"/>
        <v>1</v>
      </c>
      <c r="AY47" s="2200">
        <v>2</v>
      </c>
      <c r="AZ47" s="2201">
        <v>1</v>
      </c>
      <c r="BA47" s="2200"/>
      <c r="BB47" s="2201">
        <v>0.5</v>
      </c>
      <c r="BC47" s="2202">
        <v>0</v>
      </c>
      <c r="BD47" s="2200" t="s">
        <v>1090</v>
      </c>
      <c r="BE47" s="2084" t="s">
        <v>2766</v>
      </c>
      <c r="BF47" s="2084"/>
      <c r="BG47" s="2474">
        <f aca="true" t="shared" si="39" ref="BG47:BG58">SUM(M47:T47)</f>
        <v>3</v>
      </c>
      <c r="BH47" s="2475">
        <f t="shared" si="25"/>
        <v>1</v>
      </c>
      <c r="BI47" s="2476">
        <v>3</v>
      </c>
      <c r="BJ47" s="2475">
        <v>1</v>
      </c>
      <c r="BK47" s="2475"/>
      <c r="BL47" s="2475">
        <f>BI47/Y47</f>
        <v>0.75</v>
      </c>
      <c r="BM47" s="2477"/>
      <c r="BN47" s="2474"/>
      <c r="BO47" s="2474"/>
      <c r="BP47" s="2474"/>
    </row>
    <row r="48" spans="1:68" s="49" customFormat="1" ht="39" thickBot="1">
      <c r="A48" s="2655"/>
      <c r="B48" s="2655"/>
      <c r="C48" s="2657"/>
      <c r="D48" s="94" t="s">
        <v>713</v>
      </c>
      <c r="E48" s="309" t="s">
        <v>54</v>
      </c>
      <c r="F48" s="309">
        <v>1</v>
      </c>
      <c r="G48" s="309" t="s">
        <v>714</v>
      </c>
      <c r="H48" s="309" t="s">
        <v>715</v>
      </c>
      <c r="I48" s="310">
        <f t="shared" si="37"/>
        <v>0.07692307692307693</v>
      </c>
      <c r="J48" s="309" t="s">
        <v>716</v>
      </c>
      <c r="K48" s="117">
        <v>42005</v>
      </c>
      <c r="L48" s="117">
        <v>42063</v>
      </c>
      <c r="M48" s="125"/>
      <c r="N48" s="125">
        <v>1</v>
      </c>
      <c r="O48" s="125"/>
      <c r="P48" s="125"/>
      <c r="Q48" s="125"/>
      <c r="R48" s="126"/>
      <c r="S48" s="126"/>
      <c r="T48" s="125"/>
      <c r="U48" s="126"/>
      <c r="V48" s="126"/>
      <c r="W48" s="126"/>
      <c r="X48" s="126"/>
      <c r="Y48" s="311">
        <f t="shared" si="31"/>
        <v>1</v>
      </c>
      <c r="Z48" s="75">
        <v>0</v>
      </c>
      <c r="AA48" s="493" t="s">
        <v>1090</v>
      </c>
      <c r="AB48" s="1378">
        <f t="shared" si="32"/>
        <v>1</v>
      </c>
      <c r="AC48" s="1371">
        <f t="shared" si="17"/>
        <v>1</v>
      </c>
      <c r="AD48" s="1509">
        <v>0</v>
      </c>
      <c r="AE48" s="1311">
        <f t="shared" si="18"/>
        <v>0</v>
      </c>
      <c r="AF48" s="1311">
        <f t="shared" si="33"/>
        <v>0</v>
      </c>
      <c r="AG48" s="1311">
        <f t="shared" si="27"/>
        <v>0</v>
      </c>
      <c r="AH48" s="1371">
        <f t="shared" si="19"/>
        <v>0</v>
      </c>
      <c r="AI48" s="1378"/>
      <c r="AJ48" s="1371"/>
      <c r="AK48" s="1378" t="s">
        <v>2418</v>
      </c>
      <c r="AL48" s="1378"/>
      <c r="AM48" s="1692">
        <f t="shared" si="34"/>
        <v>1</v>
      </c>
      <c r="AN48" s="1699">
        <f t="shared" si="21"/>
        <v>1</v>
      </c>
      <c r="AO48" s="1697">
        <v>0</v>
      </c>
      <c r="AP48" s="1699">
        <f t="shared" si="38"/>
        <v>0</v>
      </c>
      <c r="AQ48" s="1699">
        <f t="shared" si="35"/>
        <v>0</v>
      </c>
      <c r="AR48" s="1699">
        <f t="shared" si="22"/>
        <v>0</v>
      </c>
      <c r="AS48" s="1743">
        <v>0</v>
      </c>
      <c r="AT48" s="1692"/>
      <c r="AU48" s="1692"/>
      <c r="AV48" s="1692"/>
      <c r="AW48" s="2200">
        <f t="shared" si="36"/>
        <v>1</v>
      </c>
      <c r="AX48" s="2201">
        <f t="shared" si="24"/>
        <v>1</v>
      </c>
      <c r="AY48" s="2200">
        <v>1</v>
      </c>
      <c r="AZ48" s="2201">
        <v>1</v>
      </c>
      <c r="BA48" s="2200"/>
      <c r="BB48" s="2201">
        <v>1</v>
      </c>
      <c r="BC48" s="2202">
        <v>0</v>
      </c>
      <c r="BD48" s="2200" t="s">
        <v>1090</v>
      </c>
      <c r="BE48" s="2084"/>
      <c r="BF48" s="2084"/>
      <c r="BG48" s="2474">
        <f t="shared" si="39"/>
        <v>1</v>
      </c>
      <c r="BH48" s="2475">
        <f t="shared" si="25"/>
        <v>1</v>
      </c>
      <c r="BI48" s="2476">
        <v>1</v>
      </c>
      <c r="BJ48" s="2475">
        <v>1</v>
      </c>
      <c r="BK48" s="2475"/>
      <c r="BL48" s="2475">
        <f aca="true" t="shared" si="40" ref="BL48:BL58">BI48/Y48</f>
        <v>1</v>
      </c>
      <c r="BM48" s="2477"/>
      <c r="BN48" s="2474"/>
      <c r="BO48" s="2474"/>
      <c r="BP48" s="2474"/>
    </row>
    <row r="49" spans="1:68" s="49" customFormat="1" ht="51.75" thickBot="1">
      <c r="A49" s="2655"/>
      <c r="B49" s="2655"/>
      <c r="C49" s="2657"/>
      <c r="D49" s="94" t="s">
        <v>717</v>
      </c>
      <c r="E49" s="309" t="s">
        <v>54</v>
      </c>
      <c r="F49" s="309">
        <v>11</v>
      </c>
      <c r="G49" s="309" t="s">
        <v>718</v>
      </c>
      <c r="H49" s="309" t="s">
        <v>715</v>
      </c>
      <c r="I49" s="310">
        <f t="shared" si="37"/>
        <v>0.07692307692307693</v>
      </c>
      <c r="J49" s="309" t="s">
        <v>719</v>
      </c>
      <c r="K49" s="117">
        <v>42005</v>
      </c>
      <c r="L49" s="117">
        <v>42369</v>
      </c>
      <c r="M49" s="125"/>
      <c r="N49" s="125">
        <v>1</v>
      </c>
      <c r="O49" s="125">
        <v>1</v>
      </c>
      <c r="P49" s="125">
        <v>1</v>
      </c>
      <c r="Q49" s="125">
        <v>1</v>
      </c>
      <c r="R49" s="126">
        <v>1</v>
      </c>
      <c r="S49" s="126">
        <v>1</v>
      </c>
      <c r="T49" s="125">
        <v>1</v>
      </c>
      <c r="U49" s="126">
        <v>1</v>
      </c>
      <c r="V49" s="126">
        <v>1</v>
      </c>
      <c r="W49" s="126">
        <v>1</v>
      </c>
      <c r="X49" s="126">
        <v>1</v>
      </c>
      <c r="Y49" s="311">
        <f t="shared" si="31"/>
        <v>11</v>
      </c>
      <c r="Z49" s="75">
        <v>0</v>
      </c>
      <c r="AA49" s="493" t="s">
        <v>1090</v>
      </c>
      <c r="AB49" s="1378">
        <f t="shared" si="32"/>
        <v>1</v>
      </c>
      <c r="AC49" s="1371">
        <f t="shared" si="17"/>
        <v>1</v>
      </c>
      <c r="AD49" s="1509">
        <v>0</v>
      </c>
      <c r="AE49" s="1311">
        <f t="shared" si="18"/>
        <v>0</v>
      </c>
      <c r="AF49" s="1311">
        <f t="shared" si="33"/>
        <v>0</v>
      </c>
      <c r="AG49" s="1311">
        <f t="shared" si="27"/>
        <v>0</v>
      </c>
      <c r="AH49" s="1371">
        <f t="shared" si="19"/>
        <v>0</v>
      </c>
      <c r="AI49" s="1378"/>
      <c r="AJ49" s="1371"/>
      <c r="AK49" s="1378" t="s">
        <v>2419</v>
      </c>
      <c r="AL49" s="1378"/>
      <c r="AM49" s="1692">
        <f t="shared" si="34"/>
        <v>3</v>
      </c>
      <c r="AN49" s="1699">
        <f t="shared" si="21"/>
        <v>1</v>
      </c>
      <c r="AO49" s="1697">
        <v>2</v>
      </c>
      <c r="AP49" s="1699">
        <f t="shared" si="38"/>
        <v>0.6666666666666666</v>
      </c>
      <c r="AQ49" s="1699">
        <f t="shared" si="35"/>
        <v>0.18181818181818182</v>
      </c>
      <c r="AR49" s="1699">
        <f t="shared" si="22"/>
        <v>0.6666666666666666</v>
      </c>
      <c r="AS49" s="1743">
        <v>0</v>
      </c>
      <c r="AT49" s="1692"/>
      <c r="AU49" s="1692" t="s">
        <v>2420</v>
      </c>
      <c r="AV49" s="1692"/>
      <c r="AW49" s="2200">
        <f t="shared" si="36"/>
        <v>5</v>
      </c>
      <c r="AX49" s="2201">
        <f t="shared" si="24"/>
        <v>1</v>
      </c>
      <c r="AY49" s="2200">
        <v>4</v>
      </c>
      <c r="AZ49" s="2201">
        <f>AY49/AW49</f>
        <v>0.8</v>
      </c>
      <c r="BA49" s="2200"/>
      <c r="BB49" s="2201">
        <f>AY49/Y49</f>
        <v>0.36363636363636365</v>
      </c>
      <c r="BC49" s="2202">
        <v>0</v>
      </c>
      <c r="BD49" s="2200" t="s">
        <v>1090</v>
      </c>
      <c r="BE49" s="2084" t="s">
        <v>2767</v>
      </c>
      <c r="BF49" s="2084"/>
      <c r="BG49" s="2474">
        <f t="shared" si="39"/>
        <v>7</v>
      </c>
      <c r="BH49" s="2475">
        <f t="shared" si="25"/>
        <v>1</v>
      </c>
      <c r="BI49" s="2476">
        <v>7</v>
      </c>
      <c r="BJ49" s="2475">
        <v>1</v>
      </c>
      <c r="BK49" s="2475"/>
      <c r="BL49" s="2475">
        <f t="shared" si="40"/>
        <v>0.6363636363636364</v>
      </c>
      <c r="BM49" s="2477"/>
      <c r="BN49" s="2474"/>
      <c r="BO49" s="2474"/>
      <c r="BP49" s="2474"/>
    </row>
    <row r="50" spans="1:68" s="49" customFormat="1" ht="46.5" customHeight="1" thickBot="1">
      <c r="A50" s="2655"/>
      <c r="B50" s="2655"/>
      <c r="C50" s="2657"/>
      <c r="D50" s="94" t="s">
        <v>720</v>
      </c>
      <c r="E50" s="309" t="s">
        <v>54</v>
      </c>
      <c r="F50" s="309">
        <v>1</v>
      </c>
      <c r="G50" s="309" t="s">
        <v>721</v>
      </c>
      <c r="H50" s="309" t="s">
        <v>722</v>
      </c>
      <c r="I50" s="310">
        <f t="shared" si="37"/>
        <v>0.07692307692307693</v>
      </c>
      <c r="J50" s="309" t="s">
        <v>723</v>
      </c>
      <c r="K50" s="117">
        <v>42005</v>
      </c>
      <c r="L50" s="117">
        <v>42155</v>
      </c>
      <c r="M50" s="125"/>
      <c r="N50" s="125"/>
      <c r="O50" s="125"/>
      <c r="P50" s="125"/>
      <c r="Q50" s="125">
        <v>1</v>
      </c>
      <c r="R50" s="126"/>
      <c r="S50" s="126"/>
      <c r="T50" s="125"/>
      <c r="U50" s="126"/>
      <c r="V50" s="126"/>
      <c r="W50" s="126"/>
      <c r="X50" s="126"/>
      <c r="Y50" s="311">
        <f t="shared" si="31"/>
        <v>1</v>
      </c>
      <c r="Z50" s="75">
        <v>0</v>
      </c>
      <c r="AA50" s="493" t="s">
        <v>1090</v>
      </c>
      <c r="AB50" s="1378">
        <f t="shared" si="32"/>
        <v>0</v>
      </c>
      <c r="AC50" s="1371">
        <f t="shared" si="17"/>
        <v>0</v>
      </c>
      <c r="AD50" s="1509">
        <v>0</v>
      </c>
      <c r="AE50" s="1311" t="s">
        <v>1090</v>
      </c>
      <c r="AF50" s="1311">
        <f t="shared" si="33"/>
        <v>0</v>
      </c>
      <c r="AG50" s="1311">
        <f t="shared" si="27"/>
        <v>0</v>
      </c>
      <c r="AH50" s="1371" t="e">
        <f t="shared" si="19"/>
        <v>#DIV/0!</v>
      </c>
      <c r="AI50" s="1378"/>
      <c r="AJ50" s="1371"/>
      <c r="AK50" s="1378"/>
      <c r="AL50" s="1378"/>
      <c r="AM50" s="1692">
        <f t="shared" si="34"/>
        <v>0</v>
      </c>
      <c r="AN50" s="1699">
        <f t="shared" si="21"/>
        <v>0</v>
      </c>
      <c r="AO50" s="1697">
        <v>0</v>
      </c>
      <c r="AP50" s="1699" t="s">
        <v>1090</v>
      </c>
      <c r="AQ50" s="1699">
        <f t="shared" si="35"/>
        <v>0</v>
      </c>
      <c r="AR50" s="1699">
        <v>0</v>
      </c>
      <c r="AS50" s="1743">
        <v>0</v>
      </c>
      <c r="AT50" s="1692"/>
      <c r="AU50" s="1692"/>
      <c r="AV50" s="1692"/>
      <c r="AW50" s="2200">
        <f t="shared" si="36"/>
        <v>1</v>
      </c>
      <c r="AX50" s="2201">
        <f t="shared" si="24"/>
        <v>1</v>
      </c>
      <c r="AY50" s="2200">
        <v>1</v>
      </c>
      <c r="AZ50" s="2201">
        <v>1</v>
      </c>
      <c r="BA50" s="2200"/>
      <c r="BB50" s="2201">
        <v>1</v>
      </c>
      <c r="BC50" s="2202">
        <v>0</v>
      </c>
      <c r="BD50" s="2200" t="s">
        <v>1090</v>
      </c>
      <c r="BE50" s="2084" t="s">
        <v>2768</v>
      </c>
      <c r="BF50" s="2084"/>
      <c r="BG50" s="2474">
        <f t="shared" si="39"/>
        <v>1</v>
      </c>
      <c r="BH50" s="2475">
        <f t="shared" si="25"/>
        <v>1</v>
      </c>
      <c r="BI50" s="2476">
        <v>1</v>
      </c>
      <c r="BJ50" s="2475">
        <v>1</v>
      </c>
      <c r="BK50" s="2475"/>
      <c r="BL50" s="2475">
        <f t="shared" si="40"/>
        <v>1</v>
      </c>
      <c r="BM50" s="2477"/>
      <c r="BN50" s="2474"/>
      <c r="BO50" s="2474"/>
      <c r="BP50" s="2474"/>
    </row>
    <row r="51" spans="1:68" s="49" customFormat="1" ht="39" thickBot="1">
      <c r="A51" s="2655"/>
      <c r="B51" s="2655"/>
      <c r="C51" s="2657"/>
      <c r="D51" s="94" t="s">
        <v>724</v>
      </c>
      <c r="E51" s="309" t="s">
        <v>54</v>
      </c>
      <c r="F51" s="309">
        <v>1</v>
      </c>
      <c r="G51" s="309" t="s">
        <v>721</v>
      </c>
      <c r="H51" s="309" t="s">
        <v>715</v>
      </c>
      <c r="I51" s="310">
        <f t="shared" si="37"/>
        <v>0.07692307692307693</v>
      </c>
      <c r="J51" s="309" t="s">
        <v>725</v>
      </c>
      <c r="K51" s="117">
        <v>42186</v>
      </c>
      <c r="L51" s="117">
        <v>42216</v>
      </c>
      <c r="M51" s="125"/>
      <c r="N51" s="125"/>
      <c r="O51" s="125"/>
      <c r="P51" s="125"/>
      <c r="Q51" s="125"/>
      <c r="R51" s="126"/>
      <c r="S51" s="126">
        <v>1</v>
      </c>
      <c r="T51" s="125"/>
      <c r="U51" s="126"/>
      <c r="V51" s="126"/>
      <c r="W51" s="126"/>
      <c r="X51" s="126"/>
      <c r="Y51" s="311">
        <f t="shared" si="31"/>
        <v>1</v>
      </c>
      <c r="Z51" s="75">
        <v>0</v>
      </c>
      <c r="AA51" s="493" t="s">
        <v>1090</v>
      </c>
      <c r="AB51" s="1378">
        <f t="shared" si="32"/>
        <v>0</v>
      </c>
      <c r="AC51" s="1371">
        <f t="shared" si="17"/>
        <v>0</v>
      </c>
      <c r="AD51" s="1509">
        <v>0</v>
      </c>
      <c r="AE51" s="1311" t="s">
        <v>1090</v>
      </c>
      <c r="AF51" s="1311">
        <f t="shared" si="33"/>
        <v>0</v>
      </c>
      <c r="AG51" s="1311">
        <f t="shared" si="27"/>
        <v>0</v>
      </c>
      <c r="AH51" s="1371" t="e">
        <f t="shared" si="19"/>
        <v>#DIV/0!</v>
      </c>
      <c r="AI51" s="1378"/>
      <c r="AJ51" s="1371"/>
      <c r="AK51" s="1378"/>
      <c r="AL51" s="1378"/>
      <c r="AM51" s="1692">
        <f t="shared" si="34"/>
        <v>0</v>
      </c>
      <c r="AN51" s="1699">
        <f t="shared" si="21"/>
        <v>0</v>
      </c>
      <c r="AO51" s="1697">
        <v>0</v>
      </c>
      <c r="AP51" s="1699" t="s">
        <v>1090</v>
      </c>
      <c r="AQ51" s="1699">
        <f t="shared" si="35"/>
        <v>0</v>
      </c>
      <c r="AR51" s="1699">
        <v>0</v>
      </c>
      <c r="AS51" s="1743">
        <v>0</v>
      </c>
      <c r="AT51" s="1692"/>
      <c r="AU51" s="1692" t="s">
        <v>2421</v>
      </c>
      <c r="AV51" s="1692"/>
      <c r="AW51" s="2200">
        <f t="shared" si="36"/>
        <v>0</v>
      </c>
      <c r="AX51" s="2201">
        <f t="shared" si="24"/>
        <v>0</v>
      </c>
      <c r="AY51" s="2200" t="s">
        <v>1090</v>
      </c>
      <c r="AZ51" s="2201" t="s">
        <v>1090</v>
      </c>
      <c r="BA51" s="2200"/>
      <c r="BB51" s="2201">
        <v>0</v>
      </c>
      <c r="BC51" s="2202">
        <v>0</v>
      </c>
      <c r="BD51" s="2200" t="s">
        <v>1090</v>
      </c>
      <c r="BE51" s="2084" t="s">
        <v>2769</v>
      </c>
      <c r="BF51" s="2084"/>
      <c r="BG51" s="2474">
        <f t="shared" si="39"/>
        <v>1</v>
      </c>
      <c r="BH51" s="2475">
        <f t="shared" si="25"/>
        <v>1</v>
      </c>
      <c r="BI51" s="2476">
        <v>1</v>
      </c>
      <c r="BJ51" s="2475">
        <v>1</v>
      </c>
      <c r="BK51" s="2475"/>
      <c r="BL51" s="2475">
        <f t="shared" si="40"/>
        <v>1</v>
      </c>
      <c r="BM51" s="2477"/>
      <c r="BN51" s="2474"/>
      <c r="BO51" s="2474"/>
      <c r="BP51" s="2474"/>
    </row>
    <row r="52" spans="1:68" s="49" customFormat="1" ht="64.5" thickBot="1">
      <c r="A52" s="2655"/>
      <c r="B52" s="2655"/>
      <c r="C52" s="2657"/>
      <c r="D52" s="94" t="s">
        <v>726</v>
      </c>
      <c r="E52" s="309" t="s">
        <v>54</v>
      </c>
      <c r="F52" s="309">
        <v>12</v>
      </c>
      <c r="G52" s="309" t="s">
        <v>727</v>
      </c>
      <c r="H52" s="309" t="s">
        <v>715</v>
      </c>
      <c r="I52" s="310">
        <f t="shared" si="37"/>
        <v>0.07692307692307693</v>
      </c>
      <c r="J52" s="309" t="s">
        <v>728</v>
      </c>
      <c r="K52" s="117">
        <v>42005</v>
      </c>
      <c r="L52" s="117">
        <v>42369</v>
      </c>
      <c r="M52" s="125">
        <v>1</v>
      </c>
      <c r="N52" s="125">
        <v>1</v>
      </c>
      <c r="O52" s="125">
        <v>1</v>
      </c>
      <c r="P52" s="125">
        <v>1</v>
      </c>
      <c r="Q52" s="125">
        <v>1</v>
      </c>
      <c r="R52" s="126">
        <v>1</v>
      </c>
      <c r="S52" s="126">
        <v>1</v>
      </c>
      <c r="T52" s="125">
        <v>1</v>
      </c>
      <c r="U52" s="126">
        <v>1</v>
      </c>
      <c r="V52" s="126">
        <v>1</v>
      </c>
      <c r="W52" s="126">
        <v>1</v>
      </c>
      <c r="X52" s="126">
        <v>1</v>
      </c>
      <c r="Y52" s="311">
        <f t="shared" si="31"/>
        <v>12</v>
      </c>
      <c r="Z52" s="75">
        <v>0</v>
      </c>
      <c r="AA52" s="493" t="s">
        <v>1090</v>
      </c>
      <c r="AB52" s="1378">
        <f t="shared" si="32"/>
        <v>2</v>
      </c>
      <c r="AC52" s="1371">
        <f t="shared" si="17"/>
        <v>1</v>
      </c>
      <c r="AD52" s="1509">
        <v>2</v>
      </c>
      <c r="AE52" s="1311">
        <f t="shared" si="18"/>
        <v>1</v>
      </c>
      <c r="AF52" s="1311">
        <f t="shared" si="33"/>
        <v>0.16666666666666666</v>
      </c>
      <c r="AG52" s="1311">
        <f t="shared" si="27"/>
        <v>0.16666666666666666</v>
      </c>
      <c r="AH52" s="1371">
        <f t="shared" si="19"/>
        <v>1</v>
      </c>
      <c r="AI52" s="1378"/>
      <c r="AJ52" s="1371"/>
      <c r="AK52" s="1378"/>
      <c r="AL52" s="1378"/>
      <c r="AM52" s="1692">
        <f t="shared" si="34"/>
        <v>4</v>
      </c>
      <c r="AN52" s="1699">
        <f t="shared" si="21"/>
        <v>1</v>
      </c>
      <c r="AO52" s="1697">
        <v>2</v>
      </c>
      <c r="AP52" s="1699">
        <f t="shared" si="38"/>
        <v>0.5</v>
      </c>
      <c r="AQ52" s="1699">
        <f t="shared" si="35"/>
        <v>0.16666666666666666</v>
      </c>
      <c r="AR52" s="1699">
        <f t="shared" si="22"/>
        <v>0.5</v>
      </c>
      <c r="AS52" s="1743">
        <v>0</v>
      </c>
      <c r="AT52" s="1692"/>
      <c r="AU52" s="1692"/>
      <c r="AV52" s="1692"/>
      <c r="AW52" s="2200">
        <f t="shared" si="36"/>
        <v>6</v>
      </c>
      <c r="AX52" s="2201">
        <f t="shared" si="24"/>
        <v>1</v>
      </c>
      <c r="AY52" s="2200">
        <v>6</v>
      </c>
      <c r="AZ52" s="2201">
        <v>1</v>
      </c>
      <c r="BA52" s="2200"/>
      <c r="BB52" s="2201">
        <v>0.5</v>
      </c>
      <c r="BC52" s="2202">
        <v>0</v>
      </c>
      <c r="BD52" s="2200" t="s">
        <v>1090</v>
      </c>
      <c r="BE52" s="2084"/>
      <c r="BF52" s="2084"/>
      <c r="BG52" s="2474">
        <f t="shared" si="39"/>
        <v>8</v>
      </c>
      <c r="BH52" s="2475">
        <f t="shared" si="25"/>
        <v>1</v>
      </c>
      <c r="BI52" s="2476">
        <v>8</v>
      </c>
      <c r="BJ52" s="2475">
        <v>1</v>
      </c>
      <c r="BK52" s="2475"/>
      <c r="BL52" s="2475">
        <f t="shared" si="40"/>
        <v>0.6666666666666666</v>
      </c>
      <c r="BM52" s="2477"/>
      <c r="BN52" s="2474"/>
      <c r="BO52" s="2474"/>
      <c r="BP52" s="2474"/>
    </row>
    <row r="53" spans="1:68" s="49" customFormat="1" ht="58.5" customHeight="1" thickBot="1">
      <c r="A53" s="2655"/>
      <c r="B53" s="2655"/>
      <c r="C53" s="2657"/>
      <c r="D53" s="94" t="s">
        <v>729</v>
      </c>
      <c r="E53" s="309" t="s">
        <v>54</v>
      </c>
      <c r="F53" s="309">
        <v>6</v>
      </c>
      <c r="G53" s="309" t="s">
        <v>730</v>
      </c>
      <c r="H53" s="309" t="s">
        <v>715</v>
      </c>
      <c r="I53" s="310">
        <f t="shared" si="37"/>
        <v>0.07692307692307693</v>
      </c>
      <c r="J53" s="309" t="s">
        <v>731</v>
      </c>
      <c r="K53" s="117">
        <v>42005</v>
      </c>
      <c r="L53" s="117">
        <v>42369</v>
      </c>
      <c r="M53" s="125">
        <v>1</v>
      </c>
      <c r="N53" s="125"/>
      <c r="O53" s="125">
        <v>1</v>
      </c>
      <c r="P53" s="125"/>
      <c r="Q53" s="125">
        <v>1</v>
      </c>
      <c r="R53" s="126"/>
      <c r="S53" s="126">
        <v>1</v>
      </c>
      <c r="T53" s="125"/>
      <c r="U53" s="126">
        <v>1</v>
      </c>
      <c r="V53" s="126"/>
      <c r="W53" s="126">
        <v>1</v>
      </c>
      <c r="X53" s="126"/>
      <c r="Y53" s="311">
        <f t="shared" si="31"/>
        <v>6</v>
      </c>
      <c r="Z53" s="75">
        <v>0</v>
      </c>
      <c r="AA53" s="493" t="s">
        <v>1090</v>
      </c>
      <c r="AB53" s="1378">
        <f t="shared" si="32"/>
        <v>1</v>
      </c>
      <c r="AC53" s="1371">
        <f t="shared" si="17"/>
        <v>1</v>
      </c>
      <c r="AD53" s="1509">
        <v>1</v>
      </c>
      <c r="AE53" s="1311">
        <f t="shared" si="18"/>
        <v>1</v>
      </c>
      <c r="AF53" s="1311">
        <f t="shared" si="33"/>
        <v>0.16666666666666666</v>
      </c>
      <c r="AG53" s="1311">
        <f t="shared" si="27"/>
        <v>0.16666666666666666</v>
      </c>
      <c r="AH53" s="1371">
        <f t="shared" si="19"/>
        <v>1</v>
      </c>
      <c r="AI53" s="1378"/>
      <c r="AJ53" s="1371"/>
      <c r="AK53" s="1378" t="s">
        <v>2422</v>
      </c>
      <c r="AL53" s="1378"/>
      <c r="AM53" s="1692">
        <f t="shared" si="34"/>
        <v>2</v>
      </c>
      <c r="AN53" s="1699">
        <f t="shared" si="21"/>
        <v>1</v>
      </c>
      <c r="AO53" s="1697">
        <v>1</v>
      </c>
      <c r="AP53" s="1699">
        <f t="shared" si="38"/>
        <v>0.5</v>
      </c>
      <c r="AQ53" s="1699">
        <f t="shared" si="35"/>
        <v>0.16666666666666666</v>
      </c>
      <c r="AR53" s="1699">
        <f t="shared" si="22"/>
        <v>0.5</v>
      </c>
      <c r="AS53" s="1743">
        <v>0</v>
      </c>
      <c r="AT53" s="1692"/>
      <c r="AU53" s="1692"/>
      <c r="AV53" s="1692"/>
      <c r="AW53" s="2200">
        <f t="shared" si="36"/>
        <v>3</v>
      </c>
      <c r="AX53" s="2201">
        <f t="shared" si="24"/>
        <v>1</v>
      </c>
      <c r="AY53" s="2200">
        <v>3</v>
      </c>
      <c r="AZ53" s="2201">
        <v>1</v>
      </c>
      <c r="BA53" s="2200"/>
      <c r="BB53" s="2201">
        <v>0.5</v>
      </c>
      <c r="BC53" s="2202">
        <v>0</v>
      </c>
      <c r="BD53" s="2200" t="s">
        <v>1090</v>
      </c>
      <c r="BE53" s="2084"/>
      <c r="BF53" s="2084"/>
      <c r="BG53" s="2474">
        <f t="shared" si="39"/>
        <v>4</v>
      </c>
      <c r="BH53" s="2475">
        <f t="shared" si="25"/>
        <v>1</v>
      </c>
      <c r="BI53" s="2476">
        <v>4</v>
      </c>
      <c r="BJ53" s="2475">
        <v>1</v>
      </c>
      <c r="BK53" s="2475"/>
      <c r="BL53" s="2475">
        <f t="shared" si="40"/>
        <v>0.6666666666666666</v>
      </c>
      <c r="BM53" s="2477"/>
      <c r="BN53" s="2474"/>
      <c r="BO53" s="2474"/>
      <c r="BP53" s="2474"/>
    </row>
    <row r="54" spans="1:68" s="49" customFormat="1" ht="75.75" customHeight="1" thickBot="1">
      <c r="A54" s="2655"/>
      <c r="B54" s="2655"/>
      <c r="C54" s="1777" t="s">
        <v>732</v>
      </c>
      <c r="D54" s="58" t="s">
        <v>733</v>
      </c>
      <c r="E54" s="340" t="s">
        <v>734</v>
      </c>
      <c r="F54" s="341">
        <v>1</v>
      </c>
      <c r="G54" s="337" t="s">
        <v>735</v>
      </c>
      <c r="H54" s="337" t="s">
        <v>736</v>
      </c>
      <c r="I54" s="310">
        <f t="shared" si="37"/>
        <v>0.07692307692307693</v>
      </c>
      <c r="J54" s="338" t="s">
        <v>737</v>
      </c>
      <c r="K54" s="117">
        <v>42005</v>
      </c>
      <c r="L54" s="117">
        <v>42369</v>
      </c>
      <c r="M54" s="69"/>
      <c r="N54" s="70"/>
      <c r="O54" s="70"/>
      <c r="P54" s="70"/>
      <c r="Q54" s="70"/>
      <c r="R54" s="70"/>
      <c r="S54" s="70"/>
      <c r="T54" s="71"/>
      <c r="U54" s="72"/>
      <c r="V54" s="73"/>
      <c r="W54" s="73"/>
      <c r="X54" s="73">
        <v>1</v>
      </c>
      <c r="Y54" s="311">
        <f t="shared" si="31"/>
        <v>1</v>
      </c>
      <c r="Z54" s="75">
        <v>0</v>
      </c>
      <c r="AA54" s="493" t="s">
        <v>1090</v>
      </c>
      <c r="AB54" s="1378">
        <f t="shared" si="32"/>
        <v>0</v>
      </c>
      <c r="AC54" s="1371">
        <f t="shared" si="17"/>
        <v>0</v>
      </c>
      <c r="AD54" s="1509">
        <v>0</v>
      </c>
      <c r="AE54" s="1311" t="s">
        <v>1090</v>
      </c>
      <c r="AF54" s="1311">
        <f t="shared" si="33"/>
        <v>0</v>
      </c>
      <c r="AG54" s="1311">
        <f t="shared" si="27"/>
        <v>0</v>
      </c>
      <c r="AH54" s="1371" t="e">
        <f t="shared" si="19"/>
        <v>#DIV/0!</v>
      </c>
      <c r="AI54" s="1378"/>
      <c r="AJ54" s="1371"/>
      <c r="AK54" s="1378"/>
      <c r="AL54" s="1378"/>
      <c r="AM54" s="1692">
        <f t="shared" si="34"/>
        <v>0</v>
      </c>
      <c r="AN54" s="1699">
        <f t="shared" si="21"/>
        <v>0</v>
      </c>
      <c r="AO54" s="1697">
        <v>0</v>
      </c>
      <c r="AP54" s="1699" t="s">
        <v>1090</v>
      </c>
      <c r="AQ54" s="1699">
        <f t="shared" si="35"/>
        <v>0</v>
      </c>
      <c r="AR54" s="1699">
        <v>0</v>
      </c>
      <c r="AS54" s="1743">
        <v>0</v>
      </c>
      <c r="AT54" s="1692"/>
      <c r="AU54" s="1692"/>
      <c r="AV54" s="1692"/>
      <c r="AW54" s="2200">
        <f t="shared" si="36"/>
        <v>0</v>
      </c>
      <c r="AX54" s="2201">
        <f t="shared" si="24"/>
        <v>0</v>
      </c>
      <c r="AY54" s="2200" t="s">
        <v>1090</v>
      </c>
      <c r="AZ54" s="2201" t="s">
        <v>1090</v>
      </c>
      <c r="BA54" s="2200"/>
      <c r="BB54" s="2201">
        <v>0</v>
      </c>
      <c r="BC54" s="2202">
        <v>0</v>
      </c>
      <c r="BD54" s="2200" t="s">
        <v>1090</v>
      </c>
      <c r="BE54" s="2084"/>
      <c r="BF54" s="2084"/>
      <c r="BG54" s="2474">
        <f t="shared" si="39"/>
        <v>0</v>
      </c>
      <c r="BH54" s="2475">
        <f t="shared" si="25"/>
        <v>0</v>
      </c>
      <c r="BI54" s="2476" t="s">
        <v>1090</v>
      </c>
      <c r="BJ54" s="2475" t="s">
        <v>1090</v>
      </c>
      <c r="BK54" s="2475"/>
      <c r="BL54" s="2475">
        <v>0</v>
      </c>
      <c r="BM54" s="2477"/>
      <c r="BN54" s="2474"/>
      <c r="BO54" s="2474"/>
      <c r="BP54" s="2474"/>
    </row>
    <row r="55" spans="1:68" s="49" customFormat="1" ht="77.25" thickBot="1">
      <c r="A55" s="2655"/>
      <c r="B55" s="2655"/>
      <c r="C55" s="2656" t="s">
        <v>738</v>
      </c>
      <c r="D55" s="58" t="s">
        <v>739</v>
      </c>
      <c r="E55" s="337" t="s">
        <v>54</v>
      </c>
      <c r="F55" s="337">
        <v>16</v>
      </c>
      <c r="G55" s="337" t="s">
        <v>740</v>
      </c>
      <c r="H55" s="309" t="s">
        <v>673</v>
      </c>
      <c r="I55" s="310">
        <f t="shared" si="37"/>
        <v>0.07692307692307693</v>
      </c>
      <c r="J55" s="309" t="s">
        <v>741</v>
      </c>
      <c r="K55" s="117">
        <v>42005</v>
      </c>
      <c r="L55" s="117">
        <v>42369</v>
      </c>
      <c r="M55" s="343">
        <v>1</v>
      </c>
      <c r="N55" s="343">
        <v>1</v>
      </c>
      <c r="O55" s="343">
        <v>2</v>
      </c>
      <c r="P55" s="343">
        <v>1</v>
      </c>
      <c r="Q55" s="343">
        <v>1</v>
      </c>
      <c r="R55" s="343">
        <v>2</v>
      </c>
      <c r="S55" s="343">
        <v>1</v>
      </c>
      <c r="T55" s="343">
        <v>1</v>
      </c>
      <c r="U55" s="343">
        <v>2</v>
      </c>
      <c r="V55" s="343">
        <v>1</v>
      </c>
      <c r="W55" s="343">
        <v>1</v>
      </c>
      <c r="X55" s="343">
        <v>2</v>
      </c>
      <c r="Y55" s="311">
        <f t="shared" si="31"/>
        <v>16</v>
      </c>
      <c r="Z55" s="75">
        <v>0</v>
      </c>
      <c r="AA55" s="493" t="s">
        <v>1090</v>
      </c>
      <c r="AB55" s="1378">
        <f t="shared" si="32"/>
        <v>2</v>
      </c>
      <c r="AC55" s="1371">
        <f t="shared" si="17"/>
        <v>1</v>
      </c>
      <c r="AD55" s="1509">
        <v>2</v>
      </c>
      <c r="AE55" s="1311">
        <f t="shared" si="18"/>
        <v>1</v>
      </c>
      <c r="AF55" s="1311">
        <f t="shared" si="33"/>
        <v>0.125</v>
      </c>
      <c r="AG55" s="1311">
        <f t="shared" si="27"/>
        <v>0.125</v>
      </c>
      <c r="AH55" s="1371">
        <f t="shared" si="19"/>
        <v>1</v>
      </c>
      <c r="AI55" s="1378"/>
      <c r="AJ55" s="1371"/>
      <c r="AK55" s="1378"/>
      <c r="AL55" s="1378"/>
      <c r="AM55" s="1692">
        <f t="shared" si="34"/>
        <v>5</v>
      </c>
      <c r="AN55" s="1699">
        <f t="shared" si="21"/>
        <v>1</v>
      </c>
      <c r="AO55" s="1697">
        <v>3</v>
      </c>
      <c r="AP55" s="1699">
        <f t="shared" si="38"/>
        <v>0.6</v>
      </c>
      <c r="AQ55" s="1699">
        <f t="shared" si="35"/>
        <v>0.1875</v>
      </c>
      <c r="AR55" s="1699">
        <f t="shared" si="22"/>
        <v>0.6</v>
      </c>
      <c r="AS55" s="1743">
        <v>0</v>
      </c>
      <c r="AT55" s="1692"/>
      <c r="AU55" s="1692"/>
      <c r="AV55" s="1692"/>
      <c r="AW55" s="2200">
        <f t="shared" si="36"/>
        <v>8</v>
      </c>
      <c r="AX55" s="2201">
        <f t="shared" si="24"/>
        <v>1</v>
      </c>
      <c r="AY55" s="2200">
        <v>7</v>
      </c>
      <c r="AZ55" s="2201">
        <f>AY55/AW55</f>
        <v>0.875</v>
      </c>
      <c r="BA55" s="2200"/>
      <c r="BB55" s="2201">
        <f>AY55/Y55</f>
        <v>0.4375</v>
      </c>
      <c r="BC55" s="2202">
        <v>0</v>
      </c>
      <c r="BD55" s="2200" t="s">
        <v>1090</v>
      </c>
      <c r="BE55" s="2084" t="s">
        <v>2770</v>
      </c>
      <c r="BF55" s="2084"/>
      <c r="BG55" s="2474">
        <f t="shared" si="39"/>
        <v>10</v>
      </c>
      <c r="BH55" s="2475">
        <f t="shared" si="25"/>
        <v>1</v>
      </c>
      <c r="BI55" s="2476">
        <v>10</v>
      </c>
      <c r="BJ55" s="2475">
        <v>1</v>
      </c>
      <c r="BK55" s="2475"/>
      <c r="BL55" s="2475">
        <f t="shared" si="40"/>
        <v>0.625</v>
      </c>
      <c r="BM55" s="2477"/>
      <c r="BN55" s="2474"/>
      <c r="BO55" s="2474"/>
      <c r="BP55" s="2474"/>
    </row>
    <row r="56" spans="1:68" s="49" customFormat="1" ht="78" customHeight="1" thickBot="1">
      <c r="A56" s="2655"/>
      <c r="B56" s="2655"/>
      <c r="C56" s="2664"/>
      <c r="D56" s="1785" t="s">
        <v>742</v>
      </c>
      <c r="E56" s="344" t="s">
        <v>54</v>
      </c>
      <c r="F56" s="344">
        <v>24</v>
      </c>
      <c r="G56" s="344" t="s">
        <v>743</v>
      </c>
      <c r="H56" s="309" t="s">
        <v>673</v>
      </c>
      <c r="I56" s="310">
        <f t="shared" si="37"/>
        <v>0.07692307692307693</v>
      </c>
      <c r="J56" s="309" t="s">
        <v>744</v>
      </c>
      <c r="K56" s="117">
        <v>42005</v>
      </c>
      <c r="L56" s="117">
        <v>42369</v>
      </c>
      <c r="M56" s="156">
        <v>2</v>
      </c>
      <c r="N56" s="156">
        <v>2</v>
      </c>
      <c r="O56" s="156">
        <v>2</v>
      </c>
      <c r="P56" s="156">
        <v>2</v>
      </c>
      <c r="Q56" s="156">
        <v>2</v>
      </c>
      <c r="R56" s="156">
        <v>2</v>
      </c>
      <c r="S56" s="156">
        <v>2</v>
      </c>
      <c r="T56" s="156">
        <v>2</v>
      </c>
      <c r="U56" s="156">
        <v>2</v>
      </c>
      <c r="V56" s="156">
        <v>2</v>
      </c>
      <c r="W56" s="156">
        <v>2</v>
      </c>
      <c r="X56" s="156">
        <v>2</v>
      </c>
      <c r="Y56" s="311">
        <f t="shared" si="31"/>
        <v>24</v>
      </c>
      <c r="Z56" s="75">
        <v>0</v>
      </c>
      <c r="AA56" s="493" t="s">
        <v>1090</v>
      </c>
      <c r="AB56" s="1378">
        <f t="shared" si="32"/>
        <v>4</v>
      </c>
      <c r="AC56" s="1371">
        <f t="shared" si="17"/>
        <v>1</v>
      </c>
      <c r="AD56" s="1509">
        <v>4</v>
      </c>
      <c r="AE56" s="1311">
        <f t="shared" si="18"/>
        <v>1</v>
      </c>
      <c r="AF56" s="1311">
        <f t="shared" si="33"/>
        <v>0.16666666666666666</v>
      </c>
      <c r="AG56" s="1311">
        <f t="shared" si="27"/>
        <v>0.16666666666666666</v>
      </c>
      <c r="AH56" s="1371">
        <f t="shared" si="19"/>
        <v>1</v>
      </c>
      <c r="AI56" s="1378"/>
      <c r="AJ56" s="1371"/>
      <c r="AK56" s="1378"/>
      <c r="AL56" s="1378"/>
      <c r="AM56" s="1692">
        <f t="shared" si="34"/>
        <v>8</v>
      </c>
      <c r="AN56" s="1699">
        <f t="shared" si="21"/>
        <v>1</v>
      </c>
      <c r="AO56" s="1697">
        <v>4</v>
      </c>
      <c r="AP56" s="1699">
        <f t="shared" si="38"/>
        <v>0.5</v>
      </c>
      <c r="AQ56" s="1699">
        <f t="shared" si="35"/>
        <v>0.16666666666666666</v>
      </c>
      <c r="AR56" s="1699">
        <f t="shared" si="22"/>
        <v>0.5</v>
      </c>
      <c r="AS56" s="1743">
        <v>0</v>
      </c>
      <c r="AT56" s="1692"/>
      <c r="AU56" s="1692"/>
      <c r="AV56" s="1692"/>
      <c r="AW56" s="2200">
        <f t="shared" si="36"/>
        <v>12</v>
      </c>
      <c r="AX56" s="2201">
        <f t="shared" si="24"/>
        <v>1</v>
      </c>
      <c r="AY56" s="2200">
        <v>12</v>
      </c>
      <c r="AZ56" s="2201">
        <v>1</v>
      </c>
      <c r="BA56" s="2200"/>
      <c r="BB56" s="2201">
        <v>0.5</v>
      </c>
      <c r="BC56" s="2202">
        <v>0</v>
      </c>
      <c r="BD56" s="2200" t="s">
        <v>1090</v>
      </c>
      <c r="BE56" s="2084"/>
      <c r="BF56" s="2084"/>
      <c r="BG56" s="2474">
        <f t="shared" si="39"/>
        <v>16</v>
      </c>
      <c r="BH56" s="2475">
        <f t="shared" si="25"/>
        <v>1</v>
      </c>
      <c r="BI56" s="2476">
        <v>16</v>
      </c>
      <c r="BJ56" s="2475">
        <v>1</v>
      </c>
      <c r="BK56" s="2475"/>
      <c r="BL56" s="2475">
        <f t="shared" si="40"/>
        <v>0.6666666666666666</v>
      </c>
      <c r="BM56" s="2477"/>
      <c r="BN56" s="2474"/>
      <c r="BO56" s="2474"/>
      <c r="BP56" s="2474"/>
    </row>
    <row r="57" spans="1:68" s="49" customFormat="1" ht="90" thickBot="1">
      <c r="A57" s="2655"/>
      <c r="B57" s="2655"/>
      <c r="C57" s="2656" t="s">
        <v>745</v>
      </c>
      <c r="D57" s="1785" t="s">
        <v>746</v>
      </c>
      <c r="E57" s="344" t="s">
        <v>54</v>
      </c>
      <c r="F57" s="344">
        <v>3</v>
      </c>
      <c r="G57" s="344" t="s">
        <v>513</v>
      </c>
      <c r="H57" s="309" t="s">
        <v>1790</v>
      </c>
      <c r="I57" s="310">
        <f t="shared" si="37"/>
        <v>0.07692307692307693</v>
      </c>
      <c r="J57" s="309" t="s">
        <v>747</v>
      </c>
      <c r="K57" s="117">
        <v>42005</v>
      </c>
      <c r="L57" s="117">
        <v>42369</v>
      </c>
      <c r="M57" s="156"/>
      <c r="N57" s="156">
        <v>1</v>
      </c>
      <c r="O57" s="156"/>
      <c r="P57" s="156"/>
      <c r="Q57" s="156"/>
      <c r="R57" s="156"/>
      <c r="S57" s="156">
        <v>1</v>
      </c>
      <c r="T57" s="345"/>
      <c r="U57" s="346"/>
      <c r="V57" s="138">
        <v>1</v>
      </c>
      <c r="W57" s="138"/>
      <c r="X57" s="138"/>
      <c r="Y57" s="311">
        <f t="shared" si="31"/>
        <v>3</v>
      </c>
      <c r="Z57" s="75">
        <v>0</v>
      </c>
      <c r="AA57" s="493" t="s">
        <v>1090</v>
      </c>
      <c r="AB57" s="1378">
        <f t="shared" si="32"/>
        <v>1</v>
      </c>
      <c r="AC57" s="1371">
        <f t="shared" si="17"/>
        <v>1</v>
      </c>
      <c r="AD57" s="1509">
        <v>1</v>
      </c>
      <c r="AE57" s="1311">
        <f t="shared" si="18"/>
        <v>1</v>
      </c>
      <c r="AF57" s="1311">
        <f t="shared" si="33"/>
        <v>0.3333333333333333</v>
      </c>
      <c r="AG57" s="1311">
        <f t="shared" si="27"/>
        <v>0.3333333333333333</v>
      </c>
      <c r="AH57" s="1371">
        <f t="shared" si="19"/>
        <v>1</v>
      </c>
      <c r="AI57" s="1378"/>
      <c r="AJ57" s="1378"/>
      <c r="AK57" s="1378" t="s">
        <v>2423</v>
      </c>
      <c r="AL57" s="1378"/>
      <c r="AM57" s="1692">
        <f t="shared" si="34"/>
        <v>1</v>
      </c>
      <c r="AN57" s="1699">
        <f t="shared" si="21"/>
        <v>1</v>
      </c>
      <c r="AO57" s="1697">
        <v>0</v>
      </c>
      <c r="AP57" s="1699">
        <f t="shared" si="38"/>
        <v>0</v>
      </c>
      <c r="AQ57" s="1699">
        <f t="shared" si="35"/>
        <v>0</v>
      </c>
      <c r="AR57" s="1699">
        <f t="shared" si="22"/>
        <v>0</v>
      </c>
      <c r="AS57" s="1743">
        <v>0</v>
      </c>
      <c r="AT57" s="1692"/>
      <c r="AU57" s="1692"/>
      <c r="AV57" s="1692"/>
      <c r="AW57" s="2200">
        <f t="shared" si="36"/>
        <v>1</v>
      </c>
      <c r="AX57" s="2201">
        <f t="shared" si="24"/>
        <v>1</v>
      </c>
      <c r="AY57" s="2200">
        <v>1</v>
      </c>
      <c r="AZ57" s="2201">
        <v>1</v>
      </c>
      <c r="BA57" s="2200"/>
      <c r="BB57" s="2201">
        <f>AY57/Y57</f>
        <v>0.3333333333333333</v>
      </c>
      <c r="BC57" s="2202">
        <v>0</v>
      </c>
      <c r="BD57" s="2200" t="s">
        <v>1090</v>
      </c>
      <c r="BE57" s="2084"/>
      <c r="BF57" s="2084"/>
      <c r="BG57" s="2474">
        <f t="shared" si="39"/>
        <v>2</v>
      </c>
      <c r="BH57" s="2475">
        <f t="shared" si="25"/>
        <v>1</v>
      </c>
      <c r="BI57" s="2476">
        <v>1</v>
      </c>
      <c r="BJ57" s="2475">
        <f>BI57/Y57</f>
        <v>0.3333333333333333</v>
      </c>
      <c r="BK57" s="2475"/>
      <c r="BL57" s="2475">
        <f t="shared" si="40"/>
        <v>0.3333333333333333</v>
      </c>
      <c r="BM57" s="2477"/>
      <c r="BN57" s="2474"/>
      <c r="BO57" s="2474"/>
      <c r="BP57" s="2474"/>
    </row>
    <row r="58" spans="1:68" s="49" customFormat="1" ht="88.5" customHeight="1" thickBot="1">
      <c r="A58" s="2655"/>
      <c r="B58" s="2655"/>
      <c r="C58" s="2657"/>
      <c r="D58" s="94" t="s">
        <v>748</v>
      </c>
      <c r="E58" s="344" t="s">
        <v>54</v>
      </c>
      <c r="F58" s="344" t="s">
        <v>749</v>
      </c>
      <c r="G58" s="344" t="s">
        <v>750</v>
      </c>
      <c r="H58" s="309" t="s">
        <v>751</v>
      </c>
      <c r="I58" s="310">
        <f t="shared" si="37"/>
        <v>0.07692307692307693</v>
      </c>
      <c r="J58" s="309" t="s">
        <v>752</v>
      </c>
      <c r="K58" s="117">
        <v>42005</v>
      </c>
      <c r="L58" s="117">
        <v>42369</v>
      </c>
      <c r="M58" s="156"/>
      <c r="N58" s="156"/>
      <c r="O58" s="156"/>
      <c r="P58" s="156"/>
      <c r="Q58" s="156"/>
      <c r="R58" s="156"/>
      <c r="S58" s="156"/>
      <c r="T58" s="345"/>
      <c r="U58" s="346"/>
      <c r="V58" s="138"/>
      <c r="W58" s="138"/>
      <c r="X58" s="138"/>
      <c r="Y58" s="344" t="s">
        <v>753</v>
      </c>
      <c r="Z58" s="75">
        <v>0</v>
      </c>
      <c r="AA58" s="493" t="s">
        <v>1090</v>
      </c>
      <c r="AB58" s="1378" t="s">
        <v>753</v>
      </c>
      <c r="AC58" s="1371">
        <f t="shared" si="17"/>
        <v>1</v>
      </c>
      <c r="AD58" s="1509">
        <v>0</v>
      </c>
      <c r="AE58" s="1311" t="s">
        <v>1090</v>
      </c>
      <c r="AF58" s="1311" t="s">
        <v>1090</v>
      </c>
      <c r="AG58" s="1311">
        <v>0</v>
      </c>
      <c r="AH58" s="1371" t="e">
        <f t="shared" si="19"/>
        <v>#VALUE!</v>
      </c>
      <c r="AI58" s="1378"/>
      <c r="AJ58" s="1378"/>
      <c r="AK58" s="1378" t="s">
        <v>2424</v>
      </c>
      <c r="AL58" s="1378"/>
      <c r="AM58" s="1692">
        <f t="shared" si="34"/>
        <v>0</v>
      </c>
      <c r="AN58" s="1699">
        <f t="shared" si="21"/>
        <v>0</v>
      </c>
      <c r="AO58" s="1697">
        <v>0</v>
      </c>
      <c r="AP58" s="1699" t="s">
        <v>1090</v>
      </c>
      <c r="AQ58" s="1699" t="s">
        <v>1090</v>
      </c>
      <c r="AR58" s="1699" t="str">
        <f t="shared" si="22"/>
        <v>-</v>
      </c>
      <c r="AS58" s="1743">
        <v>0</v>
      </c>
      <c r="AT58" s="1692"/>
      <c r="AU58" s="1692" t="s">
        <v>2425</v>
      </c>
      <c r="AV58" s="1692"/>
      <c r="AW58" s="2200">
        <f t="shared" si="36"/>
        <v>0</v>
      </c>
      <c r="AX58" s="2201">
        <f t="shared" si="24"/>
        <v>0</v>
      </c>
      <c r="AY58" s="2200" t="s">
        <v>1090</v>
      </c>
      <c r="AZ58" s="2201" t="s">
        <v>1090</v>
      </c>
      <c r="BA58" s="2200"/>
      <c r="BB58" s="2201" t="s">
        <v>1090</v>
      </c>
      <c r="BC58" s="2202">
        <v>0</v>
      </c>
      <c r="BD58" s="2200" t="s">
        <v>1090</v>
      </c>
      <c r="BE58" s="2084" t="s">
        <v>2771</v>
      </c>
      <c r="BF58" s="2084"/>
      <c r="BG58" s="2474">
        <f t="shared" si="39"/>
        <v>0</v>
      </c>
      <c r="BH58" s="2475">
        <f t="shared" si="25"/>
        <v>0</v>
      </c>
      <c r="BI58" s="2476" t="s">
        <v>1090</v>
      </c>
      <c r="BJ58" s="2475" t="s">
        <v>1090</v>
      </c>
      <c r="BK58" s="2475"/>
      <c r="BL58" s="2475" t="s">
        <v>1090</v>
      </c>
      <c r="BM58" s="2477"/>
      <c r="BN58" s="2474"/>
      <c r="BO58" s="2474"/>
      <c r="BP58" s="2474"/>
    </row>
    <row r="59" spans="1:68" s="606" customFormat="1" ht="18.75" thickBot="1">
      <c r="A59" s="2652" t="s">
        <v>130</v>
      </c>
      <c r="B59" s="2653"/>
      <c r="C59" s="2653"/>
      <c r="D59" s="2654"/>
      <c r="E59" s="1779"/>
      <c r="F59" s="1779"/>
      <c r="G59" s="1779"/>
      <c r="H59" s="1779"/>
      <c r="I59" s="157">
        <f>SUM(I46:I58)</f>
        <v>0.9999999999999998</v>
      </c>
      <c r="J59" s="1779"/>
      <c r="K59" s="1779"/>
      <c r="L59" s="1779"/>
      <c r="M59" s="1779"/>
      <c r="N59" s="1779"/>
      <c r="O59" s="1779"/>
      <c r="P59" s="1779"/>
      <c r="Q59" s="1779"/>
      <c r="R59" s="1779"/>
      <c r="S59" s="1779"/>
      <c r="T59" s="1779"/>
      <c r="U59" s="1779"/>
      <c r="V59" s="1779"/>
      <c r="W59" s="1779"/>
      <c r="X59" s="1779"/>
      <c r="Y59" s="87"/>
      <c r="Z59" s="88">
        <f>SUM(Z46:Z58)</f>
        <v>0</v>
      </c>
      <c r="AA59" s="1780"/>
      <c r="AB59" s="1502"/>
      <c r="AC59" s="1545">
        <f>AVERAGEIF(AC49:AC58,"&gt;0")</f>
        <v>1</v>
      </c>
      <c r="AD59" s="1515"/>
      <c r="AE59" s="1501">
        <f>AVERAGE(AE46:AE58)</f>
        <v>0.7777777777777778</v>
      </c>
      <c r="AF59" s="1501">
        <f>AVERAGE(AF46:AF58)</f>
        <v>0.11458333333333331</v>
      </c>
      <c r="AG59" s="1501">
        <f>AVERAGE(AG46:AG58)</f>
        <v>0.10576923076923075</v>
      </c>
      <c r="AH59" s="1862" t="e">
        <f>AVERAGE(AH46:AH58)</f>
        <v>#DIV/0!</v>
      </c>
      <c r="AI59" s="1863">
        <f>SUM(AI46:AI58)</f>
        <v>0</v>
      </c>
      <c r="AJ59" s="1324"/>
      <c r="AK59" s="1324"/>
      <c r="AL59" s="1324"/>
      <c r="AM59" s="1325"/>
      <c r="AN59" s="1875">
        <f>AVERAGEIF(AN46:AN58,"&gt;0")</f>
        <v>1</v>
      </c>
      <c r="AO59" s="1325"/>
      <c r="AP59" s="1877">
        <f>AVERAGE(AP46:AP58)</f>
        <v>0.4185185185185185</v>
      </c>
      <c r="AQ59" s="1325"/>
      <c r="AR59" s="1877">
        <f>AVERAGE(AR46:AR58)</f>
        <v>0.3138888888888889</v>
      </c>
      <c r="AS59" s="1325"/>
      <c r="AT59" s="1325"/>
      <c r="AU59" s="1325"/>
      <c r="AV59" s="1325"/>
      <c r="AW59" s="2203"/>
      <c r="AX59" s="2204">
        <v>1</v>
      </c>
      <c r="AY59" s="2203"/>
      <c r="AZ59" s="2205">
        <f>AVERAGE(AZ46:AZ58)</f>
        <v>0.9675</v>
      </c>
      <c r="BA59" s="2203"/>
      <c r="BB59" s="2205">
        <f>AVERAGE(BB46:BB58)</f>
        <v>0.4695391414141414</v>
      </c>
      <c r="BC59" s="1325"/>
      <c r="BD59" s="1325"/>
      <c r="BE59" s="1325"/>
      <c r="BF59" s="1325"/>
      <c r="BG59" s="1325"/>
      <c r="BH59" s="1878">
        <v>1</v>
      </c>
      <c r="BI59" s="2932"/>
      <c r="BJ59" s="1261">
        <f>AVERAGE(BJ46:BJ58)</f>
        <v>0.9393939393939394</v>
      </c>
      <c r="BK59" s="1325"/>
      <c r="BL59" s="2205">
        <f>AVERAGE(BL46:BL58)</f>
        <v>0.6676136363636364</v>
      </c>
      <c r="BM59" s="1325"/>
      <c r="BN59" s="1325"/>
      <c r="BO59" s="1325"/>
      <c r="BP59" s="1325"/>
    </row>
    <row r="60" spans="1:68" s="49" customFormat="1" ht="51.75" thickBot="1">
      <c r="A60" s="1781">
        <v>3</v>
      </c>
      <c r="B60" s="1781" t="s">
        <v>228</v>
      </c>
      <c r="C60" s="1777" t="s">
        <v>237</v>
      </c>
      <c r="D60" s="82" t="s">
        <v>545</v>
      </c>
      <c r="E60" s="347" t="s">
        <v>54</v>
      </c>
      <c r="F60" s="348" t="s">
        <v>149</v>
      </c>
      <c r="G60" s="344" t="s">
        <v>150</v>
      </c>
      <c r="H60" s="309" t="s">
        <v>754</v>
      </c>
      <c r="I60" s="349">
        <f>100%</f>
        <v>1</v>
      </c>
      <c r="J60" s="350" t="s">
        <v>260</v>
      </c>
      <c r="K60" s="117">
        <v>42005</v>
      </c>
      <c r="L60" s="117">
        <v>42369</v>
      </c>
      <c r="M60" s="146"/>
      <c r="N60" s="146"/>
      <c r="O60" s="146"/>
      <c r="P60" s="146"/>
      <c r="Q60" s="146"/>
      <c r="R60" s="146"/>
      <c r="S60" s="146"/>
      <c r="T60" s="146"/>
      <c r="U60" s="147"/>
      <c r="V60" s="147"/>
      <c r="W60" s="147"/>
      <c r="X60" s="147"/>
      <c r="Y60" s="121" t="s">
        <v>149</v>
      </c>
      <c r="Z60" s="96">
        <v>0</v>
      </c>
      <c r="AA60" s="493" t="s">
        <v>1090</v>
      </c>
      <c r="AB60" s="1378" t="s">
        <v>149</v>
      </c>
      <c r="AC60" s="1371">
        <f t="shared" si="17"/>
        <v>1</v>
      </c>
      <c r="AD60" s="1509">
        <v>0</v>
      </c>
      <c r="AE60" s="1311" t="s">
        <v>1090</v>
      </c>
      <c r="AF60" s="1311" t="s">
        <v>1090</v>
      </c>
      <c r="AG60" s="1311">
        <v>0</v>
      </c>
      <c r="AH60" s="1371" t="e">
        <f t="shared" si="19"/>
        <v>#VALUE!</v>
      </c>
      <c r="AI60" s="1378"/>
      <c r="AJ60" s="1378"/>
      <c r="AK60" s="1378" t="s">
        <v>2426</v>
      </c>
      <c r="AL60" s="1378"/>
      <c r="AM60" s="1692">
        <f>SUM(M60:P60)</f>
        <v>0</v>
      </c>
      <c r="AN60" s="1699">
        <f t="shared" si="21"/>
        <v>0</v>
      </c>
      <c r="AO60" s="1697">
        <v>0</v>
      </c>
      <c r="AP60" s="1726" t="s">
        <v>1090</v>
      </c>
      <c r="AQ60" s="1726" t="s">
        <v>1090</v>
      </c>
      <c r="AR60" s="1692" t="str">
        <f t="shared" si="22"/>
        <v>-</v>
      </c>
      <c r="AS60" s="1743">
        <v>0</v>
      </c>
      <c r="AT60" s="1692"/>
      <c r="AU60" s="1692"/>
      <c r="AV60" s="1692"/>
      <c r="AW60" s="2200">
        <f>SUM(M60:R60)</f>
        <v>0</v>
      </c>
      <c r="AX60" s="2201">
        <f t="shared" si="24"/>
        <v>0</v>
      </c>
      <c r="AY60" s="2200" t="s">
        <v>1090</v>
      </c>
      <c r="AZ60" s="2200" t="s">
        <v>1090</v>
      </c>
      <c r="BA60" s="2200"/>
      <c r="BB60" s="2200" t="s">
        <v>1090</v>
      </c>
      <c r="BC60" s="2202">
        <v>0</v>
      </c>
      <c r="BD60" s="2200" t="s">
        <v>1090</v>
      </c>
      <c r="BE60" s="2084" t="s">
        <v>2772</v>
      </c>
      <c r="BF60" s="2084"/>
      <c r="BG60" s="2474">
        <f>SUM(M60:T60)</f>
        <v>0</v>
      </c>
      <c r="BH60" s="2475">
        <f t="shared" si="25"/>
        <v>0</v>
      </c>
      <c r="BI60" s="2476" t="s">
        <v>1090</v>
      </c>
      <c r="BJ60" s="2478" t="s">
        <v>1090</v>
      </c>
      <c r="BK60" s="2478"/>
      <c r="BL60" s="2474" t="s">
        <v>1090</v>
      </c>
      <c r="BM60" s="2477"/>
      <c r="BN60" s="2474"/>
      <c r="BO60" s="2474"/>
      <c r="BP60" s="2474"/>
    </row>
    <row r="61" spans="1:68" s="606" customFormat="1" ht="16.5" thickBot="1">
      <c r="A61" s="2652" t="s">
        <v>130</v>
      </c>
      <c r="B61" s="2653"/>
      <c r="C61" s="2653"/>
      <c r="D61" s="2654"/>
      <c r="E61" s="1779"/>
      <c r="F61" s="1779"/>
      <c r="G61" s="1779"/>
      <c r="H61" s="1779"/>
      <c r="I61" s="351">
        <f>SUM(I60)</f>
        <v>1</v>
      </c>
      <c r="J61" s="1779"/>
      <c r="K61" s="1779"/>
      <c r="L61" s="1779"/>
      <c r="M61" s="1779"/>
      <c r="N61" s="1779"/>
      <c r="O61" s="1779"/>
      <c r="P61" s="1779"/>
      <c r="Q61" s="1779"/>
      <c r="R61" s="1779"/>
      <c r="S61" s="1779"/>
      <c r="T61" s="1779"/>
      <c r="U61" s="1779"/>
      <c r="V61" s="1779"/>
      <c r="W61" s="1779"/>
      <c r="X61" s="1779"/>
      <c r="Y61" s="87"/>
      <c r="Z61" s="218">
        <f>SUM(Z60:Z60)</f>
        <v>0</v>
      </c>
      <c r="AA61" s="1780"/>
      <c r="AB61" s="1864"/>
      <c r="AC61" s="1865">
        <f>AVERAGEIF(AC60,"&gt;0")</f>
        <v>1</v>
      </c>
      <c r="AD61" s="1866"/>
      <c r="AE61" s="1317" t="s">
        <v>1090</v>
      </c>
      <c r="AF61" s="1317" t="s">
        <v>1090</v>
      </c>
      <c r="AG61" s="1317" t="s">
        <v>1090</v>
      </c>
      <c r="AH61" s="1867" t="e">
        <f>AVERAGE(AH60)</f>
        <v>#VALUE!</v>
      </c>
      <c r="AI61" s="1863">
        <f>SUM(AI60)</f>
        <v>0</v>
      </c>
      <c r="AJ61" s="1324"/>
      <c r="AK61" s="1324"/>
      <c r="AL61" s="1324"/>
      <c r="AM61" s="1325"/>
      <c r="AN61" s="1875">
        <f>AVERAGEIF(AN48:AN60,"&gt;0")</f>
        <v>1</v>
      </c>
      <c r="AO61" s="1325"/>
      <c r="AP61" s="1325" t="s">
        <v>1090</v>
      </c>
      <c r="AQ61" s="1325"/>
      <c r="AR61" s="1325" t="s">
        <v>1090</v>
      </c>
      <c r="AS61" s="1325"/>
      <c r="AT61" s="1325"/>
      <c r="AU61" s="1325"/>
      <c r="AV61" s="1325"/>
      <c r="AW61" s="2203"/>
      <c r="AX61" s="2204">
        <v>1</v>
      </c>
      <c r="AY61" s="2203"/>
      <c r="AZ61" s="2203" t="s">
        <v>1090</v>
      </c>
      <c r="BA61" s="2203"/>
      <c r="BB61" s="1325" t="s">
        <v>1090</v>
      </c>
      <c r="BC61" s="1325"/>
      <c r="BD61" s="1325"/>
      <c r="BE61" s="1325"/>
      <c r="BF61" s="1325"/>
      <c r="BG61" s="1325"/>
      <c r="BH61" s="2505">
        <v>1</v>
      </c>
      <c r="BI61" s="1325"/>
      <c r="BJ61" s="1325" t="s">
        <v>1090</v>
      </c>
      <c r="BK61" s="1325"/>
      <c r="BL61" s="1325" t="s">
        <v>1090</v>
      </c>
      <c r="BM61" s="1325"/>
      <c r="BN61" s="1325"/>
      <c r="BO61" s="1325"/>
      <c r="BP61" s="1325"/>
    </row>
    <row r="62" spans="1:68" s="49" customFormat="1" ht="64.5" thickBot="1">
      <c r="A62" s="2658">
        <v>4</v>
      </c>
      <c r="B62" s="2658" t="s">
        <v>755</v>
      </c>
      <c r="C62" s="2656" t="s">
        <v>503</v>
      </c>
      <c r="D62" s="1785" t="s">
        <v>756</v>
      </c>
      <c r="E62" s="352" t="s">
        <v>54</v>
      </c>
      <c r="F62" s="353" t="s">
        <v>100</v>
      </c>
      <c r="G62" s="354" t="s">
        <v>73</v>
      </c>
      <c r="H62" s="309" t="s">
        <v>757</v>
      </c>
      <c r="I62" s="310">
        <f>100%/6</f>
        <v>0.16666666666666666</v>
      </c>
      <c r="J62" s="355" t="s">
        <v>134</v>
      </c>
      <c r="K62" s="356">
        <v>42005</v>
      </c>
      <c r="L62" s="356">
        <v>42369</v>
      </c>
      <c r="M62" s="357"/>
      <c r="N62" s="357"/>
      <c r="O62" s="357"/>
      <c r="P62" s="357"/>
      <c r="Q62" s="357"/>
      <c r="R62" s="357"/>
      <c r="S62" s="357"/>
      <c r="T62" s="357"/>
      <c r="U62" s="358"/>
      <c r="V62" s="358"/>
      <c r="W62" s="358"/>
      <c r="X62" s="358"/>
      <c r="Y62" s="121" t="s">
        <v>100</v>
      </c>
      <c r="Z62" s="96">
        <v>0</v>
      </c>
      <c r="AA62" s="493" t="s">
        <v>1090</v>
      </c>
      <c r="AB62" s="1378" t="s">
        <v>505</v>
      </c>
      <c r="AC62" s="1371">
        <f t="shared" si="17"/>
        <v>1</v>
      </c>
      <c r="AD62" s="1509">
        <v>0</v>
      </c>
      <c r="AE62" s="1311" t="s">
        <v>1090</v>
      </c>
      <c r="AF62" s="1311" t="s">
        <v>1090</v>
      </c>
      <c r="AG62" s="1311">
        <v>0</v>
      </c>
      <c r="AH62" s="1371" t="e">
        <f t="shared" si="19"/>
        <v>#VALUE!</v>
      </c>
      <c r="AI62" s="1378"/>
      <c r="AJ62" s="1378"/>
      <c r="AK62" s="1378" t="s">
        <v>2427</v>
      </c>
      <c r="AL62" s="1378"/>
      <c r="AM62" s="1692">
        <f aca="true" t="shared" si="41" ref="AM62:AM67">SUM(M62:P62)</f>
        <v>0</v>
      </c>
      <c r="AN62" s="1699">
        <f t="shared" si="21"/>
        <v>0</v>
      </c>
      <c r="AO62" s="1697">
        <v>0</v>
      </c>
      <c r="AP62" s="1699" t="s">
        <v>1090</v>
      </c>
      <c r="AQ62" s="1699" t="s">
        <v>1090</v>
      </c>
      <c r="AR62" s="1699" t="str">
        <f t="shared" si="22"/>
        <v>-</v>
      </c>
      <c r="AS62" s="1743">
        <v>0</v>
      </c>
      <c r="AT62" s="1692"/>
      <c r="AU62" s="1692" t="s">
        <v>2428</v>
      </c>
      <c r="AV62" s="1692"/>
      <c r="AW62" s="2200">
        <f aca="true" t="shared" si="42" ref="AW62:AW67">SUM(M62:R62)</f>
        <v>0</v>
      </c>
      <c r="AX62" s="2201">
        <f t="shared" si="24"/>
        <v>0</v>
      </c>
      <c r="AY62" s="2200" t="s">
        <v>1090</v>
      </c>
      <c r="AZ62" s="2201" t="s">
        <v>1090</v>
      </c>
      <c r="BA62" s="2200"/>
      <c r="BB62" s="2201" t="s">
        <v>1090</v>
      </c>
      <c r="BC62" s="2202">
        <v>0</v>
      </c>
      <c r="BD62" s="2200" t="s">
        <v>1090</v>
      </c>
      <c r="BE62" s="2084" t="s">
        <v>2773</v>
      </c>
      <c r="BF62" s="2084"/>
      <c r="BG62" s="2474">
        <f>SUM(M62:T62)</f>
        <v>0</v>
      </c>
      <c r="BH62" s="2475">
        <f t="shared" si="25"/>
        <v>0</v>
      </c>
      <c r="BI62" s="2476" t="s">
        <v>1090</v>
      </c>
      <c r="BJ62" s="2475" t="s">
        <v>1090</v>
      </c>
      <c r="BK62" s="2475"/>
      <c r="BL62" s="2475" t="s">
        <v>1090</v>
      </c>
      <c r="BM62" s="2477"/>
      <c r="BN62" s="2474"/>
      <c r="BO62" s="2474"/>
      <c r="BP62" s="2474"/>
    </row>
    <row r="63" spans="1:68" s="49" customFormat="1" ht="51.75" thickBot="1">
      <c r="A63" s="2655"/>
      <c r="B63" s="2655"/>
      <c r="C63" s="2657"/>
      <c r="D63" s="94" t="s">
        <v>135</v>
      </c>
      <c r="E63" s="359" t="s">
        <v>54</v>
      </c>
      <c r="F63" s="333">
        <v>4</v>
      </c>
      <c r="G63" s="334" t="s">
        <v>137</v>
      </c>
      <c r="H63" s="309" t="s">
        <v>757</v>
      </c>
      <c r="I63" s="310">
        <f aca="true" t="shared" si="43" ref="I63:I67">100%/6</f>
        <v>0.16666666666666666</v>
      </c>
      <c r="J63" s="309" t="s">
        <v>138</v>
      </c>
      <c r="K63" s="67">
        <v>42005</v>
      </c>
      <c r="L63" s="67">
        <v>42369</v>
      </c>
      <c r="M63" s="57"/>
      <c r="N63" s="57"/>
      <c r="O63" s="57">
        <v>1</v>
      </c>
      <c r="P63" s="57"/>
      <c r="Q63" s="57"/>
      <c r="R63" s="57">
        <v>1</v>
      </c>
      <c r="S63" s="57"/>
      <c r="T63" s="57"/>
      <c r="U63" s="147">
        <v>1</v>
      </c>
      <c r="V63" s="147"/>
      <c r="W63" s="147"/>
      <c r="X63" s="147">
        <v>1</v>
      </c>
      <c r="Y63" s="311">
        <f aca="true" t="shared" si="44" ref="Y63:Y64">+SUM(M63:X63)</f>
        <v>4</v>
      </c>
      <c r="Z63" s="96">
        <v>0</v>
      </c>
      <c r="AA63" s="493" t="s">
        <v>1090</v>
      </c>
      <c r="AB63" s="1378">
        <f>SUM(M63:N63)</f>
        <v>0</v>
      </c>
      <c r="AC63" s="1371">
        <f t="shared" si="17"/>
        <v>0</v>
      </c>
      <c r="AD63" s="1509">
        <v>0</v>
      </c>
      <c r="AE63" s="1311" t="s">
        <v>1090</v>
      </c>
      <c r="AF63" s="1311">
        <f>AD63/Y63</f>
        <v>0</v>
      </c>
      <c r="AG63" s="1311">
        <f t="shared" si="27"/>
        <v>0</v>
      </c>
      <c r="AH63" s="1371" t="e">
        <f t="shared" si="19"/>
        <v>#DIV/0!</v>
      </c>
      <c r="AI63" s="1378"/>
      <c r="AJ63" s="1378"/>
      <c r="AK63" s="1378"/>
      <c r="AL63" s="1378"/>
      <c r="AM63" s="1692">
        <f t="shared" si="41"/>
        <v>1</v>
      </c>
      <c r="AN63" s="1699">
        <f t="shared" si="21"/>
        <v>1</v>
      </c>
      <c r="AO63" s="1697">
        <v>0</v>
      </c>
      <c r="AP63" s="1699">
        <f aca="true" t="shared" si="45" ref="AP63:AP65">AO63/AM63</f>
        <v>0</v>
      </c>
      <c r="AQ63" s="1699">
        <f>AO63/Y63</f>
        <v>0</v>
      </c>
      <c r="AR63" s="1699">
        <f t="shared" si="22"/>
        <v>0</v>
      </c>
      <c r="AS63" s="1743">
        <v>0</v>
      </c>
      <c r="AT63" s="1692"/>
      <c r="AU63" s="1692"/>
      <c r="AV63" s="1692"/>
      <c r="AW63" s="2200">
        <f t="shared" si="42"/>
        <v>2</v>
      </c>
      <c r="AX63" s="2201">
        <f t="shared" si="24"/>
        <v>1</v>
      </c>
      <c r="AY63" s="2200" t="s">
        <v>1090</v>
      </c>
      <c r="AZ63" s="2201">
        <v>0</v>
      </c>
      <c r="BA63" s="2200"/>
      <c r="BB63" s="2201">
        <v>0</v>
      </c>
      <c r="BC63" s="2202">
        <v>0</v>
      </c>
      <c r="BD63" s="2200" t="s">
        <v>1090</v>
      </c>
      <c r="BE63" s="2084" t="s">
        <v>2776</v>
      </c>
      <c r="BF63" s="2084"/>
      <c r="BG63" s="2474">
        <f aca="true" t="shared" si="46" ref="BG63:BG67">SUM(M63:T63)</f>
        <v>2</v>
      </c>
      <c r="BH63" s="2475">
        <f t="shared" si="25"/>
        <v>1</v>
      </c>
      <c r="BI63" s="2476">
        <v>0</v>
      </c>
      <c r="BJ63" s="2475">
        <v>0</v>
      </c>
      <c r="BK63" s="2475"/>
      <c r="BL63" s="2475">
        <v>0</v>
      </c>
      <c r="BM63" s="2477"/>
      <c r="BN63" s="2474"/>
      <c r="BO63" s="2474"/>
      <c r="BP63" s="2474"/>
    </row>
    <row r="64" spans="1:68" s="49" customFormat="1" ht="39" thickBot="1">
      <c r="A64" s="2655"/>
      <c r="B64" s="2655"/>
      <c r="C64" s="2656" t="s">
        <v>758</v>
      </c>
      <c r="D64" s="82" t="s">
        <v>151</v>
      </c>
      <c r="E64" s="347" t="s">
        <v>54</v>
      </c>
      <c r="F64" s="348">
        <v>12</v>
      </c>
      <c r="G64" s="344" t="s">
        <v>153</v>
      </c>
      <c r="H64" s="309" t="s">
        <v>673</v>
      </c>
      <c r="I64" s="310">
        <f t="shared" si="43"/>
        <v>0.16666666666666666</v>
      </c>
      <c r="J64" s="350" t="s">
        <v>154</v>
      </c>
      <c r="K64" s="360">
        <v>42006</v>
      </c>
      <c r="L64" s="360">
        <v>42369</v>
      </c>
      <c r="M64" s="146">
        <v>1</v>
      </c>
      <c r="N64" s="146">
        <v>1</v>
      </c>
      <c r="O64" s="146">
        <v>1</v>
      </c>
      <c r="P64" s="146">
        <v>1</v>
      </c>
      <c r="Q64" s="146">
        <v>1</v>
      </c>
      <c r="R64" s="146">
        <v>1</v>
      </c>
      <c r="S64" s="146">
        <v>1</v>
      </c>
      <c r="T64" s="146">
        <v>1</v>
      </c>
      <c r="U64" s="147">
        <v>1</v>
      </c>
      <c r="V64" s="147">
        <v>1</v>
      </c>
      <c r="W64" s="147">
        <v>1</v>
      </c>
      <c r="X64" s="147">
        <v>1</v>
      </c>
      <c r="Y64" s="311">
        <f t="shared" si="44"/>
        <v>12</v>
      </c>
      <c r="Z64" s="96">
        <v>0</v>
      </c>
      <c r="AA64" s="493" t="s">
        <v>1090</v>
      </c>
      <c r="AB64" s="1378">
        <f>SUM(M64:N64)</f>
        <v>2</v>
      </c>
      <c r="AC64" s="1371">
        <f t="shared" si="17"/>
        <v>1</v>
      </c>
      <c r="AD64" s="1509">
        <v>2</v>
      </c>
      <c r="AE64" s="1311">
        <f t="shared" si="18"/>
        <v>1</v>
      </c>
      <c r="AF64" s="1311">
        <f>AD64/Y64</f>
        <v>0.16666666666666666</v>
      </c>
      <c r="AG64" s="1311">
        <f t="shared" si="27"/>
        <v>0.16666666666666666</v>
      </c>
      <c r="AH64" s="1371">
        <f t="shared" si="19"/>
        <v>1</v>
      </c>
      <c r="AI64" s="1378"/>
      <c r="AJ64" s="1378"/>
      <c r="AK64" s="1378"/>
      <c r="AL64" s="1378"/>
      <c r="AM64" s="1692">
        <f t="shared" si="41"/>
        <v>4</v>
      </c>
      <c r="AN64" s="1699">
        <f t="shared" si="21"/>
        <v>1</v>
      </c>
      <c r="AO64" s="1697">
        <v>2</v>
      </c>
      <c r="AP64" s="1699">
        <f t="shared" si="45"/>
        <v>0.5</v>
      </c>
      <c r="AQ64" s="1699">
        <f>AO64/Y64</f>
        <v>0.16666666666666666</v>
      </c>
      <c r="AR64" s="1699">
        <f t="shared" si="22"/>
        <v>0.5</v>
      </c>
      <c r="AS64" s="1743">
        <v>0</v>
      </c>
      <c r="AT64" s="1692"/>
      <c r="AU64" s="1692"/>
      <c r="AV64" s="1692"/>
      <c r="AW64" s="2200">
        <f t="shared" si="42"/>
        <v>6</v>
      </c>
      <c r="AX64" s="2201">
        <f t="shared" si="24"/>
        <v>1</v>
      </c>
      <c r="AY64" s="2200">
        <v>6</v>
      </c>
      <c r="AZ64" s="2201">
        <v>1</v>
      </c>
      <c r="BA64" s="2200"/>
      <c r="BB64" s="2201">
        <v>0.5</v>
      </c>
      <c r="BC64" s="2202">
        <v>0</v>
      </c>
      <c r="BD64" s="2200" t="s">
        <v>1090</v>
      </c>
      <c r="BE64" s="2084"/>
      <c r="BF64" s="2084"/>
      <c r="BG64" s="2474">
        <f t="shared" si="46"/>
        <v>8</v>
      </c>
      <c r="BH64" s="2475">
        <f t="shared" si="25"/>
        <v>1</v>
      </c>
      <c r="BI64" s="2476">
        <v>8</v>
      </c>
      <c r="BJ64" s="2475">
        <v>1</v>
      </c>
      <c r="BK64" s="2475"/>
      <c r="BL64" s="2475">
        <f>BI64/Y64</f>
        <v>0.6666666666666666</v>
      </c>
      <c r="BM64" s="2477"/>
      <c r="BN64" s="2474"/>
      <c r="BO64" s="2474"/>
      <c r="BP64" s="2474"/>
    </row>
    <row r="65" spans="1:68" s="49" customFormat="1" ht="84.75" customHeight="1" thickBot="1">
      <c r="A65" s="2655"/>
      <c r="B65" s="2655"/>
      <c r="C65" s="2657"/>
      <c r="D65" s="82" t="s">
        <v>155</v>
      </c>
      <c r="E65" s="347" t="s">
        <v>54</v>
      </c>
      <c r="F65" s="348">
        <v>12</v>
      </c>
      <c r="G65" s="344" t="s">
        <v>153</v>
      </c>
      <c r="H65" s="309" t="s">
        <v>673</v>
      </c>
      <c r="I65" s="310">
        <f t="shared" si="43"/>
        <v>0.16666666666666666</v>
      </c>
      <c r="J65" s="350" t="s">
        <v>154</v>
      </c>
      <c r="K65" s="360">
        <v>42006</v>
      </c>
      <c r="L65" s="360">
        <v>42369</v>
      </c>
      <c r="M65" s="146">
        <v>1</v>
      </c>
      <c r="N65" s="146">
        <v>1</v>
      </c>
      <c r="O65" s="146">
        <v>1</v>
      </c>
      <c r="P65" s="146">
        <v>1</v>
      </c>
      <c r="Q65" s="146">
        <v>1</v>
      </c>
      <c r="R65" s="146">
        <v>1</v>
      </c>
      <c r="S65" s="146">
        <v>1</v>
      </c>
      <c r="T65" s="146">
        <v>1</v>
      </c>
      <c r="U65" s="146">
        <v>1</v>
      </c>
      <c r="V65" s="146">
        <v>1</v>
      </c>
      <c r="W65" s="146">
        <v>1</v>
      </c>
      <c r="X65" s="146">
        <v>1</v>
      </c>
      <c r="Y65" s="311">
        <f>+SUM(M65:X65)</f>
        <v>12</v>
      </c>
      <c r="Z65" s="96">
        <v>0</v>
      </c>
      <c r="AA65" s="493" t="s">
        <v>1090</v>
      </c>
      <c r="AB65" s="1378">
        <f>SUM(M65:N65)</f>
        <v>2</v>
      </c>
      <c r="AC65" s="1371">
        <f t="shared" si="17"/>
        <v>1</v>
      </c>
      <c r="AD65" s="1509">
        <v>2</v>
      </c>
      <c r="AE65" s="1311">
        <f t="shared" si="18"/>
        <v>1</v>
      </c>
      <c r="AF65" s="1311">
        <f>AD65/Y65</f>
        <v>0.16666666666666666</v>
      </c>
      <c r="AG65" s="1311">
        <f t="shared" si="27"/>
        <v>0.16666666666666666</v>
      </c>
      <c r="AH65" s="1371">
        <f t="shared" si="19"/>
        <v>1</v>
      </c>
      <c r="AI65" s="1378"/>
      <c r="AJ65" s="1378"/>
      <c r="AK65" s="1378"/>
      <c r="AL65" s="1378"/>
      <c r="AM65" s="1692">
        <f t="shared" si="41"/>
        <v>4</v>
      </c>
      <c r="AN65" s="1699">
        <f t="shared" si="21"/>
        <v>1</v>
      </c>
      <c r="AO65" s="1697">
        <v>2</v>
      </c>
      <c r="AP65" s="1699">
        <f t="shared" si="45"/>
        <v>0.5</v>
      </c>
      <c r="AQ65" s="1699">
        <f>AO65/Y65</f>
        <v>0.16666666666666666</v>
      </c>
      <c r="AR65" s="1699">
        <f t="shared" si="22"/>
        <v>0.5</v>
      </c>
      <c r="AS65" s="1743">
        <v>0</v>
      </c>
      <c r="AT65" s="1692"/>
      <c r="AU65" s="1692"/>
      <c r="AV65" s="1692"/>
      <c r="AW65" s="2200">
        <f t="shared" si="42"/>
        <v>6</v>
      </c>
      <c r="AX65" s="2201">
        <f t="shared" si="24"/>
        <v>1</v>
      </c>
      <c r="AY65" s="2200">
        <v>6</v>
      </c>
      <c r="AZ65" s="2201">
        <v>1</v>
      </c>
      <c r="BA65" s="2200"/>
      <c r="BB65" s="2201">
        <v>0.5</v>
      </c>
      <c r="BC65" s="2202">
        <v>0</v>
      </c>
      <c r="BD65" s="2200" t="s">
        <v>1090</v>
      </c>
      <c r="BE65" s="2084"/>
      <c r="BF65" s="2084"/>
      <c r="BG65" s="2474">
        <f t="shared" si="46"/>
        <v>8</v>
      </c>
      <c r="BH65" s="2475">
        <f t="shared" si="25"/>
        <v>1</v>
      </c>
      <c r="BI65" s="2476">
        <v>8</v>
      </c>
      <c r="BJ65" s="2475">
        <v>1</v>
      </c>
      <c r="BK65" s="2475"/>
      <c r="BL65" s="2475">
        <f>BI65/Y65</f>
        <v>0.6666666666666666</v>
      </c>
      <c r="BM65" s="2477"/>
      <c r="BN65" s="2474"/>
      <c r="BO65" s="2474"/>
      <c r="BP65" s="2474"/>
    </row>
    <row r="66" spans="1:68" s="49" customFormat="1" ht="114" customHeight="1" thickBot="1">
      <c r="A66" s="2655"/>
      <c r="B66" s="2655"/>
      <c r="C66" s="2657"/>
      <c r="D66" s="153" t="s">
        <v>508</v>
      </c>
      <c r="E66" s="361" t="s">
        <v>54</v>
      </c>
      <c r="F66" s="362" t="s">
        <v>140</v>
      </c>
      <c r="G66" s="363" t="s">
        <v>141</v>
      </c>
      <c r="H66" s="309" t="s">
        <v>759</v>
      </c>
      <c r="I66" s="310">
        <f t="shared" si="43"/>
        <v>0.16666666666666666</v>
      </c>
      <c r="J66" s="364" t="s">
        <v>158</v>
      </c>
      <c r="K66" s="365">
        <v>42006</v>
      </c>
      <c r="L66" s="365">
        <v>42369</v>
      </c>
      <c r="M66" s="156"/>
      <c r="N66" s="156"/>
      <c r="O66" s="156"/>
      <c r="P66" s="156"/>
      <c r="Q66" s="156"/>
      <c r="R66" s="156"/>
      <c r="S66" s="156"/>
      <c r="T66" s="156"/>
      <c r="U66" s="156"/>
      <c r="V66" s="156"/>
      <c r="W66" s="156"/>
      <c r="X66" s="156"/>
      <c r="Y66" s="366" t="s">
        <v>140</v>
      </c>
      <c r="Z66" s="96">
        <v>0</v>
      </c>
      <c r="AA66" s="493" t="s">
        <v>1090</v>
      </c>
      <c r="AB66" s="1378" t="s">
        <v>140</v>
      </c>
      <c r="AC66" s="1371">
        <f t="shared" si="17"/>
        <v>1</v>
      </c>
      <c r="AD66" s="1509">
        <v>0</v>
      </c>
      <c r="AE66" s="1311" t="s">
        <v>1090</v>
      </c>
      <c r="AF66" s="1311" t="s">
        <v>1090</v>
      </c>
      <c r="AG66" s="1311">
        <v>0</v>
      </c>
      <c r="AH66" s="1371" t="e">
        <f t="shared" si="19"/>
        <v>#VALUE!</v>
      </c>
      <c r="AI66" s="1378"/>
      <c r="AJ66" s="1378"/>
      <c r="AK66" s="1378" t="s">
        <v>2429</v>
      </c>
      <c r="AL66" s="1378"/>
      <c r="AM66" s="1692">
        <f t="shared" si="41"/>
        <v>0</v>
      </c>
      <c r="AN66" s="1699">
        <f t="shared" si="21"/>
        <v>0</v>
      </c>
      <c r="AO66" s="1697">
        <v>0</v>
      </c>
      <c r="AP66" s="1699" t="s">
        <v>1090</v>
      </c>
      <c r="AQ66" s="1699" t="s">
        <v>1090</v>
      </c>
      <c r="AR66" s="1699" t="str">
        <f t="shared" si="22"/>
        <v>-</v>
      </c>
      <c r="AS66" s="1743">
        <v>0</v>
      </c>
      <c r="AT66" s="1692"/>
      <c r="AU66" s="1692"/>
      <c r="AV66" s="1692"/>
      <c r="AW66" s="2200">
        <f t="shared" si="42"/>
        <v>0</v>
      </c>
      <c r="AX66" s="2201">
        <f t="shared" si="24"/>
        <v>0</v>
      </c>
      <c r="AY66" s="2200" t="s">
        <v>1090</v>
      </c>
      <c r="AZ66" s="2201" t="s">
        <v>1090</v>
      </c>
      <c r="BA66" s="2200"/>
      <c r="BB66" s="2201" t="s">
        <v>1090</v>
      </c>
      <c r="BC66" s="2202">
        <v>0</v>
      </c>
      <c r="BD66" s="2200" t="s">
        <v>1090</v>
      </c>
      <c r="BE66" s="2084" t="s">
        <v>2777</v>
      </c>
      <c r="BF66" s="2084"/>
      <c r="BG66" s="2474">
        <f t="shared" si="46"/>
        <v>0</v>
      </c>
      <c r="BH66" s="2475">
        <f t="shared" si="25"/>
        <v>0</v>
      </c>
      <c r="BI66" s="2476" t="s">
        <v>1090</v>
      </c>
      <c r="BJ66" s="2475" t="s">
        <v>1090</v>
      </c>
      <c r="BK66" s="2475"/>
      <c r="BL66" s="2475" t="s">
        <v>1090</v>
      </c>
      <c r="BM66" s="2477"/>
      <c r="BN66" s="2474"/>
      <c r="BO66" s="2474"/>
      <c r="BP66" s="2474"/>
    </row>
    <row r="67" spans="1:68" s="49" customFormat="1" ht="51.75" thickBot="1">
      <c r="A67" s="2655"/>
      <c r="B67" s="2655"/>
      <c r="C67" s="2664"/>
      <c r="D67" s="94" t="s">
        <v>147</v>
      </c>
      <c r="E67" s="361" t="s">
        <v>54</v>
      </c>
      <c r="F67" s="333" t="s">
        <v>149</v>
      </c>
      <c r="G67" s="367" t="s">
        <v>150</v>
      </c>
      <c r="H67" s="309" t="s">
        <v>759</v>
      </c>
      <c r="I67" s="310">
        <f t="shared" si="43"/>
        <v>0.16666666666666666</v>
      </c>
      <c r="J67" s="359" t="s">
        <v>760</v>
      </c>
      <c r="K67" s="368">
        <v>42006</v>
      </c>
      <c r="L67" s="369">
        <v>42369</v>
      </c>
      <c r="M67" s="370"/>
      <c r="N67" s="371"/>
      <c r="O67" s="372"/>
      <c r="P67" s="1204"/>
      <c r="Q67" s="371"/>
      <c r="R67" s="1204"/>
      <c r="S67" s="371"/>
      <c r="T67" s="372"/>
      <c r="U67" s="374"/>
      <c r="V67" s="375"/>
      <c r="W67" s="374"/>
      <c r="X67" s="376"/>
      <c r="Y67" s="377" t="s">
        <v>149</v>
      </c>
      <c r="Z67" s="96">
        <v>0</v>
      </c>
      <c r="AA67" s="493" t="s">
        <v>1090</v>
      </c>
      <c r="AB67" s="1378" t="s">
        <v>149</v>
      </c>
      <c r="AC67" s="1371">
        <f t="shared" si="17"/>
        <v>1</v>
      </c>
      <c r="AD67" s="1509">
        <v>0</v>
      </c>
      <c r="AE67" s="1311" t="s">
        <v>1090</v>
      </c>
      <c r="AF67" s="1311" t="s">
        <v>1090</v>
      </c>
      <c r="AG67" s="1311">
        <v>0</v>
      </c>
      <c r="AH67" s="1371" t="e">
        <f t="shared" si="19"/>
        <v>#VALUE!</v>
      </c>
      <c r="AI67" s="1378"/>
      <c r="AJ67" s="1378"/>
      <c r="AK67" s="1378" t="s">
        <v>2430</v>
      </c>
      <c r="AL67" s="1378"/>
      <c r="AM67" s="1692">
        <f t="shared" si="41"/>
        <v>0</v>
      </c>
      <c r="AN67" s="1699">
        <f t="shared" si="21"/>
        <v>0</v>
      </c>
      <c r="AO67" s="1697">
        <v>0</v>
      </c>
      <c r="AP67" s="1699" t="s">
        <v>1090</v>
      </c>
      <c r="AQ67" s="1699" t="s">
        <v>1090</v>
      </c>
      <c r="AR67" s="1699" t="str">
        <f t="shared" si="22"/>
        <v>-</v>
      </c>
      <c r="AS67" s="1743">
        <v>0</v>
      </c>
      <c r="AT67" s="1692"/>
      <c r="AU67" s="1692"/>
      <c r="AV67" s="1692"/>
      <c r="AW67" s="2200">
        <f t="shared" si="42"/>
        <v>0</v>
      </c>
      <c r="AX67" s="2201">
        <f t="shared" si="24"/>
        <v>0</v>
      </c>
      <c r="AY67" s="2200" t="s">
        <v>1090</v>
      </c>
      <c r="AZ67" s="2201" t="s">
        <v>1090</v>
      </c>
      <c r="BA67" s="2200"/>
      <c r="BB67" s="2201" t="s">
        <v>1090</v>
      </c>
      <c r="BC67" s="2202">
        <v>0</v>
      </c>
      <c r="BD67" s="2200" t="s">
        <v>1090</v>
      </c>
      <c r="BE67" s="2084" t="s">
        <v>2778</v>
      </c>
      <c r="BF67" s="2084"/>
      <c r="BG67" s="2474">
        <f t="shared" si="46"/>
        <v>0</v>
      </c>
      <c r="BH67" s="2475">
        <f t="shared" si="25"/>
        <v>0</v>
      </c>
      <c r="BI67" s="2476" t="s">
        <v>1090</v>
      </c>
      <c r="BJ67" s="2475" t="s">
        <v>1090</v>
      </c>
      <c r="BK67" s="2475"/>
      <c r="BL67" s="2475" t="s">
        <v>1090</v>
      </c>
      <c r="BM67" s="2477"/>
      <c r="BN67" s="2474"/>
      <c r="BO67" s="2474"/>
      <c r="BP67" s="2474"/>
    </row>
    <row r="68" spans="1:68" s="606" customFormat="1" ht="20.1" customHeight="1" thickBot="1">
      <c r="A68" s="2652" t="s">
        <v>130</v>
      </c>
      <c r="B68" s="2653"/>
      <c r="C68" s="2653"/>
      <c r="D68" s="2654"/>
      <c r="E68" s="1779"/>
      <c r="F68" s="1779"/>
      <c r="G68" s="1779"/>
      <c r="H68" s="1779"/>
      <c r="I68" s="157">
        <f>SUM(I62:I67)</f>
        <v>0.9999999999999999</v>
      </c>
      <c r="J68" s="1779"/>
      <c r="K68" s="1779"/>
      <c r="L68" s="1779"/>
      <c r="M68" s="1779"/>
      <c r="N68" s="1779"/>
      <c r="O68" s="1779"/>
      <c r="P68" s="1779"/>
      <c r="Q68" s="1779"/>
      <c r="R68" s="1779"/>
      <c r="S68" s="1779"/>
      <c r="T68" s="1779"/>
      <c r="U68" s="1779"/>
      <c r="V68" s="1779"/>
      <c r="W68" s="1779"/>
      <c r="X68" s="1779"/>
      <c r="Y68" s="87"/>
      <c r="Z68" s="218">
        <f>SUM(Z62:Z67)</f>
        <v>0</v>
      </c>
      <c r="AA68" s="1780"/>
      <c r="AB68" s="1495"/>
      <c r="AC68" s="1496">
        <f>AVERAGEIF(AC62:AC67,"&gt;0")</f>
        <v>1</v>
      </c>
      <c r="AD68" s="1511"/>
      <c r="AE68" s="1494">
        <f>AVERAGE(AE62:AE67)</f>
        <v>1</v>
      </c>
      <c r="AF68" s="1494">
        <f>AVERAGE(AF62:AF67)</f>
        <v>0.1111111111111111</v>
      </c>
      <c r="AG68" s="1494">
        <f>AVERAGE(AG62:AG67)</f>
        <v>0.05555555555555555</v>
      </c>
      <c r="AH68" s="1862" t="e">
        <f>AVERAGE(AH62:AH67)</f>
        <v>#VALUE!</v>
      </c>
      <c r="AI68" s="1863">
        <f>SUM(AI62:AI67)</f>
        <v>0</v>
      </c>
      <c r="AJ68" s="1324"/>
      <c r="AK68" s="1324"/>
      <c r="AL68" s="1324"/>
      <c r="AM68" s="1325"/>
      <c r="AN68" s="1875">
        <f>AVERAGEIF(AN55:AN67,"&gt;0")</f>
        <v>1</v>
      </c>
      <c r="AO68" s="1325"/>
      <c r="AP68" s="1877">
        <f>AVERAGE(AP62:AP67)</f>
        <v>0.3333333333333333</v>
      </c>
      <c r="AQ68" s="1325"/>
      <c r="AR68" s="1877">
        <f>AVERAGE(AR62:AR67)</f>
        <v>0.3333333333333333</v>
      </c>
      <c r="AS68" s="1325"/>
      <c r="AT68" s="1325"/>
      <c r="AU68" s="1325"/>
      <c r="AV68" s="1325"/>
      <c r="AW68" s="1499"/>
      <c r="AX68" s="1498">
        <v>1</v>
      </c>
      <c r="AY68" s="1499"/>
      <c r="AZ68" s="1557">
        <f>AVERAGE(AZ62:AZ67)</f>
        <v>0.6666666666666666</v>
      </c>
      <c r="BA68" s="1499"/>
      <c r="BB68" s="1557">
        <f>AVERAGE(BB62:BB67)</f>
        <v>0.3333333333333333</v>
      </c>
      <c r="BC68" s="1325"/>
      <c r="BD68" s="1325"/>
      <c r="BE68" s="1325"/>
      <c r="BF68" s="1325"/>
      <c r="BG68" s="1325"/>
      <c r="BH68" s="1721">
        <v>1</v>
      </c>
      <c r="BI68" s="1325"/>
      <c r="BJ68" s="1879">
        <f>AVERAGE(BJ62:BJ67)</f>
        <v>0.6666666666666666</v>
      </c>
      <c r="BK68" s="1325"/>
      <c r="BL68" s="2319">
        <f>AVERAGE(BL62:BL67)</f>
        <v>0.4444444444444444</v>
      </c>
      <c r="BM68" s="1325"/>
      <c r="BN68" s="1325"/>
      <c r="BO68" s="1325"/>
      <c r="BP68" s="1325"/>
    </row>
    <row r="69" spans="1:68" s="606" customFormat="1" ht="20.1" customHeight="1" thickBot="1">
      <c r="A69" s="2660" t="s">
        <v>290</v>
      </c>
      <c r="B69" s="2661"/>
      <c r="C69" s="2661"/>
      <c r="D69" s="2661"/>
      <c r="E69" s="1775"/>
      <c r="F69" s="1776"/>
      <c r="G69" s="1776"/>
      <c r="H69" s="1776"/>
      <c r="I69" s="305">
        <f>+(I68+I61+I59+I45+I29)/5</f>
        <v>1</v>
      </c>
      <c r="J69" s="1776"/>
      <c r="K69" s="1776"/>
      <c r="L69" s="1776"/>
      <c r="M69" s="1776"/>
      <c r="N69" s="1776"/>
      <c r="O69" s="1776"/>
      <c r="P69" s="1776"/>
      <c r="Q69" s="1776"/>
      <c r="R69" s="1776"/>
      <c r="S69" s="1776"/>
      <c r="T69" s="1776"/>
      <c r="U69" s="1776"/>
      <c r="V69" s="1776"/>
      <c r="W69" s="1776"/>
      <c r="X69" s="1776"/>
      <c r="Y69" s="160"/>
      <c r="Z69" s="161">
        <f>SUM(Z68,Z61,Z45,Z59)</f>
        <v>0</v>
      </c>
      <c r="AA69" s="162"/>
      <c r="AB69" s="1527"/>
      <c r="AC69" s="1546">
        <f>AVERAGE(AC68)</f>
        <v>1</v>
      </c>
      <c r="AD69" s="1526"/>
      <c r="AE69" s="1525">
        <f>AVERAGE(AE68,AE61,AE59,AE45)</f>
        <v>0.9259259259259259</v>
      </c>
      <c r="AF69" s="1525">
        <f>AVERAGE(AF68,AF61,AF59,AF45)</f>
        <v>0.23078703703703699</v>
      </c>
      <c r="AG69" s="1525">
        <f>AVERAGE(AG61,AG59,AG45)</f>
        <v>0.16955128205128203</v>
      </c>
      <c r="AH69" s="1329"/>
      <c r="AI69" s="1329"/>
      <c r="AJ69" s="1329"/>
      <c r="AK69" s="1329"/>
      <c r="AL69" s="1329"/>
      <c r="AM69" s="1329"/>
      <c r="AN69" s="306">
        <f>AVERAGE(AN68,AN61,AN59,AN45)</f>
        <v>1</v>
      </c>
      <c r="AO69" s="1329"/>
      <c r="AP69" s="306">
        <f>AVERAGE(AP68,AP61,AP59,AP45)</f>
        <v>0.3339506172839506</v>
      </c>
      <c r="AQ69" s="1329"/>
      <c r="AR69" s="306">
        <f>AVERAGE(AR68,AR61,AR59,AR45)</f>
        <v>0.2824074074074074</v>
      </c>
      <c r="AS69" s="1329"/>
      <c r="AT69" s="1329"/>
      <c r="AU69" s="1329"/>
      <c r="AV69" s="1329"/>
      <c r="AW69" s="2208"/>
      <c r="AX69" s="2206">
        <v>1</v>
      </c>
      <c r="AY69" s="2208"/>
      <c r="AZ69" s="2207">
        <f>AVERAGE(AZ68,AZ61,AZ59,AZ45)</f>
        <v>0.8780555555555556</v>
      </c>
      <c r="BA69" s="2208"/>
      <c r="BB69" s="2207">
        <f>AVERAGE(BB68,BB61,BB59,BB45)</f>
        <v>0.4676241582491582</v>
      </c>
      <c r="BC69" s="1329"/>
      <c r="BD69" s="1329"/>
      <c r="BE69" s="1329"/>
      <c r="BF69" s="1329"/>
      <c r="BG69" s="1329"/>
      <c r="BH69" s="1279">
        <v>1</v>
      </c>
      <c r="BI69" s="1329"/>
      <c r="BJ69" s="2320">
        <f>AVERAGE(BJ68,BJ61,BJ59,BJ45)</f>
        <v>0.8686868686868686</v>
      </c>
      <c r="BK69" s="1329"/>
      <c r="BL69" s="2320">
        <f>AVERAGE(BL68,BL61,BL59,BL45)</f>
        <v>0.5929082491582491</v>
      </c>
      <c r="BM69" s="1329"/>
      <c r="BN69" s="1329"/>
      <c r="BO69" s="1329"/>
      <c r="BP69" s="1329"/>
    </row>
    <row r="70" spans="1:68" s="3" customFormat="1" ht="20.1" customHeight="1" thickBot="1">
      <c r="A70" s="164"/>
      <c r="B70" s="165"/>
      <c r="C70" s="166"/>
      <c r="D70" s="166"/>
      <c r="E70" s="166"/>
      <c r="F70" s="267"/>
      <c r="G70" s="166"/>
      <c r="H70" s="166"/>
      <c r="I70" s="268"/>
      <c r="J70" s="166"/>
      <c r="K70" s="269"/>
      <c r="L70" s="269"/>
      <c r="M70" s="166"/>
      <c r="N70" s="166"/>
      <c r="O70" s="166"/>
      <c r="P70" s="166"/>
      <c r="Q70" s="166"/>
      <c r="R70" s="166"/>
      <c r="S70" s="166"/>
      <c r="T70" s="166"/>
      <c r="U70" s="166"/>
      <c r="V70" s="166"/>
      <c r="W70" s="166"/>
      <c r="X70" s="166"/>
      <c r="Y70" s="270"/>
      <c r="Z70" s="271">
        <f>SUM(Z69)</f>
        <v>0</v>
      </c>
      <c r="AA70" s="166"/>
      <c r="AB70" s="1547"/>
      <c r="AC70" s="1548">
        <f>AVERAGE(AC69,AC30)</f>
        <v>1</v>
      </c>
      <c r="AD70" s="1530"/>
      <c r="AE70" s="1529">
        <f>AVERAGE(AE69,AE30)</f>
        <v>0.900462962962963</v>
      </c>
      <c r="AF70" s="1529">
        <f>AVERAGE(AF69,AF30)</f>
        <v>0.1802083333333333</v>
      </c>
      <c r="AG70" s="1529">
        <f>AVERAGE(AG69,AG30)</f>
        <v>0.12964743589743588</v>
      </c>
      <c r="AH70" s="1330"/>
      <c r="AI70" s="1330"/>
      <c r="AJ70" s="1330"/>
      <c r="AK70" s="1330"/>
      <c r="AL70" s="1330"/>
      <c r="AM70" s="1886"/>
      <c r="AN70" s="1885">
        <f>AVERAGE(AN69,AN30)</f>
        <v>1</v>
      </c>
      <c r="AO70" s="1886"/>
      <c r="AP70" s="1885">
        <f>AVERAGE(AP69,AP30)</f>
        <v>0.3857253086419753</v>
      </c>
      <c r="AQ70" s="1886"/>
      <c r="AR70" s="1885">
        <f>AVERAGE(AR69,AR30)</f>
        <v>0.3599537037037037</v>
      </c>
      <c r="AS70" s="1886"/>
      <c r="AT70" s="1886"/>
      <c r="AU70" s="1886"/>
      <c r="AV70" s="1330"/>
      <c r="AW70" s="2088"/>
      <c r="AX70" s="2192">
        <v>1</v>
      </c>
      <c r="AY70" s="2088"/>
      <c r="AZ70" s="2087">
        <f>AVERAGE(AZ69,AZ30)</f>
        <v>0.9077777777777778</v>
      </c>
      <c r="BA70" s="2088"/>
      <c r="BB70" s="2087">
        <f>AVERAGE(BB69,BB30)</f>
        <v>0.46818707912457913</v>
      </c>
      <c r="BC70" s="1330"/>
      <c r="BD70" s="1330"/>
      <c r="BE70" s="1330"/>
      <c r="BF70" s="1330"/>
      <c r="BG70" s="1886"/>
      <c r="BH70" s="1885">
        <v>1</v>
      </c>
      <c r="BI70" s="1886"/>
      <c r="BJ70" s="1885">
        <f>AVERAGE(BJ69,BJ30)</f>
        <v>0.9343434343434343</v>
      </c>
      <c r="BK70" s="1886"/>
      <c r="BL70" s="2933">
        <f>AVERAGE(BL69,BL30)</f>
        <v>0.6349957912457913</v>
      </c>
      <c r="BM70" s="1886"/>
      <c r="BN70" s="1886"/>
      <c r="BO70" s="1886"/>
      <c r="BP70" s="1330"/>
    </row>
  </sheetData>
  <mergeCells count="58">
    <mergeCell ref="AB13:AL13"/>
    <mergeCell ref="AM13:AV13"/>
    <mergeCell ref="AW5:BF9"/>
    <mergeCell ref="AW11:BF11"/>
    <mergeCell ref="AW13:BF13"/>
    <mergeCell ref="A68:D68"/>
    <mergeCell ref="A69:D69"/>
    <mergeCell ref="A59:D59"/>
    <mergeCell ref="A61:D61"/>
    <mergeCell ref="A62:A67"/>
    <mergeCell ref="B62:B67"/>
    <mergeCell ref="C62:C63"/>
    <mergeCell ref="C64:C67"/>
    <mergeCell ref="A45:D45"/>
    <mergeCell ref="A46:A58"/>
    <mergeCell ref="B46:B58"/>
    <mergeCell ref="C46:C53"/>
    <mergeCell ref="C55:C56"/>
    <mergeCell ref="C57:C58"/>
    <mergeCell ref="E32:AA32"/>
    <mergeCell ref="AB32:AL32"/>
    <mergeCell ref="AM32:AV32"/>
    <mergeCell ref="AW32:BF32"/>
    <mergeCell ref="A35:A44"/>
    <mergeCell ref="B35:B44"/>
    <mergeCell ref="C35:C42"/>
    <mergeCell ref="C43:C44"/>
    <mergeCell ref="A32:D32"/>
    <mergeCell ref="A30:D30"/>
    <mergeCell ref="A31:AA31"/>
    <mergeCell ref="A13:D13"/>
    <mergeCell ref="E13:AA13"/>
    <mergeCell ref="A11:D11"/>
    <mergeCell ref="E11:AA11"/>
    <mergeCell ref="A16:A28"/>
    <mergeCell ref="B16:B28"/>
    <mergeCell ref="C16:C28"/>
    <mergeCell ref="D16:D17"/>
    <mergeCell ref="A29:D29"/>
    <mergeCell ref="A1:C4"/>
    <mergeCell ref="D1:BC2"/>
    <mergeCell ref="AB11:AL11"/>
    <mergeCell ref="AM11:AV11"/>
    <mergeCell ref="A6:AA6"/>
    <mergeCell ref="A7:AA7"/>
    <mergeCell ref="A5:AA5"/>
    <mergeCell ref="A8:AA8"/>
    <mergeCell ref="A9:AA9"/>
    <mergeCell ref="AB7:AL9"/>
    <mergeCell ref="AM7:AV9"/>
    <mergeCell ref="D3:BC4"/>
    <mergeCell ref="AB5:AL6"/>
    <mergeCell ref="AM5:AV6"/>
    <mergeCell ref="BG13:BP13"/>
    <mergeCell ref="BG32:BP32"/>
    <mergeCell ref="BG5:BP6"/>
    <mergeCell ref="BG7:BP9"/>
    <mergeCell ref="BG11:BP11"/>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7"/>
  <sheetViews>
    <sheetView zoomScale="80" zoomScaleNormal="80" workbookViewId="0" topLeftCell="N1">
      <selection activeCell="BF64" sqref="AB1:BF1048576"/>
    </sheetView>
  </sheetViews>
  <sheetFormatPr defaultColWidth="11.421875" defaultRowHeight="15"/>
  <cols>
    <col min="1" max="1" width="6.00390625" style="186" customWidth="1"/>
    <col min="2" max="2" width="18.140625" style="186" customWidth="1"/>
    <col min="3" max="3" width="24.57421875" style="186" customWidth="1"/>
    <col min="4" max="4" width="31.00390625" style="186" customWidth="1"/>
    <col min="5" max="5" width="12.7109375" style="186" customWidth="1"/>
    <col min="6" max="6" width="12.00390625" style="188" customWidth="1"/>
    <col min="7" max="7" width="19.8515625" style="186" customWidth="1"/>
    <col min="8" max="8" width="17.421875" style="186" customWidth="1"/>
    <col min="9" max="9" width="11.421875" style="189" customWidth="1"/>
    <col min="10" max="10" width="14.00390625" style="186" customWidth="1"/>
    <col min="11" max="11" width="11.57421875" style="190" customWidth="1"/>
    <col min="12" max="12" width="10.57421875" style="190" customWidth="1"/>
    <col min="13" max="14" width="6.140625" style="191" customWidth="1"/>
    <col min="15" max="15" width="8.00390625" style="191" customWidth="1"/>
    <col min="16" max="16" width="6.140625" style="191" customWidth="1"/>
    <col min="17" max="17" width="7.00390625" style="191" customWidth="1"/>
    <col min="18" max="24" width="6.140625" style="191" customWidth="1"/>
    <col min="25" max="25" width="13.00390625" style="191" customWidth="1"/>
    <col min="26" max="26" width="20.7109375" style="192" customWidth="1"/>
    <col min="27" max="27" width="15.8515625" style="186" customWidth="1"/>
    <col min="28" max="28" width="11.421875" style="449" hidden="1" customWidth="1"/>
    <col min="29" max="29" width="13.57421875" style="1315" hidden="1" customWidth="1"/>
    <col min="30" max="30" width="11.421875" style="1586" hidden="1" customWidth="1"/>
    <col min="31" max="32" width="11.421875" style="1315" hidden="1" customWidth="1"/>
    <col min="33" max="33" width="13.00390625" style="449" hidden="1" customWidth="1"/>
    <col min="34" max="35" width="11.421875" style="449" hidden="1" customWidth="1"/>
    <col min="36" max="36" width="12.57421875" style="449" hidden="1" customWidth="1"/>
    <col min="37" max="37" width="42.57421875" style="449" hidden="1" customWidth="1"/>
    <col min="38" max="38" width="29.28125" style="449" hidden="1" customWidth="1"/>
    <col min="39" max="39" width="14.28125" style="449" hidden="1" customWidth="1"/>
    <col min="40" max="40" width="14.140625" style="449" hidden="1" customWidth="1"/>
    <col min="41" max="41" width="13.8515625" style="449" hidden="1" customWidth="1"/>
    <col min="42" max="46" width="11.421875" style="449" hidden="1" customWidth="1"/>
    <col min="47" max="47" width="41.421875" style="449" hidden="1" customWidth="1"/>
    <col min="48" max="48" width="23.00390625" style="449" hidden="1" customWidth="1"/>
    <col min="49" max="55" width="11.421875" style="449" hidden="1" customWidth="1"/>
    <col min="56" max="56" width="11.421875" style="186" hidden="1" customWidth="1"/>
    <col min="57" max="57" width="38.8515625" style="186" hidden="1" customWidth="1"/>
    <col min="58" max="58" width="50.140625" style="186" hidden="1" customWidth="1"/>
    <col min="59" max="60" width="14.7109375" style="186" customWidth="1"/>
    <col min="61" max="61" width="14.28125" style="186" customWidth="1"/>
    <col min="62" max="62" width="13.57421875" style="186" customWidth="1"/>
    <col min="63" max="63" width="14.140625" style="186" customWidth="1"/>
    <col min="64" max="64" width="17.8515625" style="186" customWidth="1"/>
    <col min="65" max="65" width="18.00390625" style="186" customWidth="1"/>
    <col min="66" max="66" width="15.57421875" style="186" customWidth="1"/>
    <col min="67" max="67" width="40.7109375" style="186" customWidth="1"/>
    <col min="68" max="68" width="36.8515625" style="186" customWidth="1"/>
    <col min="69" max="233" width="11.421875" style="186" customWidth="1"/>
    <col min="234" max="234" width="6.00390625" style="186" customWidth="1"/>
    <col min="235" max="235" width="18.140625" style="186" customWidth="1"/>
    <col min="236" max="236" width="24.57421875" style="186" customWidth="1"/>
    <col min="237" max="237" width="31.00390625" style="186" customWidth="1"/>
    <col min="238" max="238" width="12.7109375" style="186" customWidth="1"/>
    <col min="239" max="239" width="12.00390625" style="186" customWidth="1"/>
    <col min="240" max="240" width="19.8515625" style="186" customWidth="1"/>
    <col min="241" max="241" width="17.421875" style="186" customWidth="1"/>
    <col min="242" max="242" width="11.421875" style="186" customWidth="1"/>
    <col min="243" max="243" width="14.00390625" style="186" customWidth="1"/>
    <col min="244" max="244" width="11.57421875" style="186" customWidth="1"/>
    <col min="245" max="245" width="10.57421875" style="186" customWidth="1"/>
    <col min="246" max="249" width="6.140625" style="186" customWidth="1"/>
    <col min="250" max="262" width="11.421875" style="186" hidden="1" customWidth="1"/>
    <col min="263" max="265" width="11.421875" style="186" customWidth="1"/>
    <col min="266" max="266" width="13.00390625" style="186" customWidth="1"/>
    <col min="267" max="269" width="11.421875" style="186" hidden="1" customWidth="1"/>
    <col min="270" max="270" width="42.57421875" style="186" customWidth="1"/>
    <col min="271" max="271" width="11.421875" style="186" hidden="1" customWidth="1"/>
    <col min="272" max="272" width="14.28125" style="186" customWidth="1"/>
    <col min="273" max="273" width="11.421875" style="186" hidden="1" customWidth="1"/>
    <col min="274" max="274" width="13.8515625" style="186" customWidth="1"/>
    <col min="275" max="280" width="11.421875" style="186" hidden="1" customWidth="1"/>
    <col min="281" max="281" width="41.421875" style="186" customWidth="1"/>
    <col min="282" max="282" width="23.00390625" style="186" customWidth="1"/>
    <col min="283" max="310" width="11.421875" style="186" hidden="1" customWidth="1"/>
    <col min="311" max="489" width="11.421875" style="186" customWidth="1"/>
    <col min="490" max="490" width="6.00390625" style="186" customWidth="1"/>
    <col min="491" max="491" width="18.140625" style="186" customWidth="1"/>
    <col min="492" max="492" width="24.57421875" style="186" customWidth="1"/>
    <col min="493" max="493" width="31.00390625" style="186" customWidth="1"/>
    <col min="494" max="494" width="12.7109375" style="186" customWidth="1"/>
    <col min="495" max="495" width="12.00390625" style="186" customWidth="1"/>
    <col min="496" max="496" width="19.8515625" style="186" customWidth="1"/>
    <col min="497" max="497" width="17.421875" style="186" customWidth="1"/>
    <col min="498" max="498" width="11.421875" style="186" customWidth="1"/>
    <col min="499" max="499" width="14.00390625" style="186" customWidth="1"/>
    <col min="500" max="500" width="11.57421875" style="186" customWidth="1"/>
    <col min="501" max="501" width="10.57421875" style="186" customWidth="1"/>
    <col min="502" max="505" width="6.140625" style="186" customWidth="1"/>
    <col min="506" max="518" width="11.421875" style="186" hidden="1" customWidth="1"/>
    <col min="519" max="521" width="11.421875" style="186" customWidth="1"/>
    <col min="522" max="522" width="13.00390625" style="186" customWidth="1"/>
    <col min="523" max="525" width="11.421875" style="186" hidden="1" customWidth="1"/>
    <col min="526" max="526" width="42.57421875" style="186" customWidth="1"/>
    <col min="527" max="527" width="11.421875" style="186" hidden="1" customWidth="1"/>
    <col min="528" max="528" width="14.28125" style="186" customWidth="1"/>
    <col min="529" max="529" width="11.421875" style="186" hidden="1" customWidth="1"/>
    <col min="530" max="530" width="13.8515625" style="186" customWidth="1"/>
    <col min="531" max="536" width="11.421875" style="186" hidden="1" customWidth="1"/>
    <col min="537" max="537" width="41.421875" style="186" customWidth="1"/>
    <col min="538" max="538" width="23.00390625" style="186" customWidth="1"/>
    <col min="539" max="566" width="11.421875" style="186" hidden="1" customWidth="1"/>
    <col min="567" max="745" width="11.421875" style="186" customWidth="1"/>
    <col min="746" max="746" width="6.00390625" style="186" customWidth="1"/>
    <col min="747" max="747" width="18.140625" style="186" customWidth="1"/>
    <col min="748" max="748" width="24.57421875" style="186" customWidth="1"/>
    <col min="749" max="749" width="31.00390625" style="186" customWidth="1"/>
    <col min="750" max="750" width="12.7109375" style="186" customWidth="1"/>
    <col min="751" max="751" width="12.00390625" style="186" customWidth="1"/>
    <col min="752" max="752" width="19.8515625" style="186" customWidth="1"/>
    <col min="753" max="753" width="17.421875" style="186" customWidth="1"/>
    <col min="754" max="754" width="11.421875" style="186" customWidth="1"/>
    <col min="755" max="755" width="14.00390625" style="186" customWidth="1"/>
    <col min="756" max="756" width="11.57421875" style="186" customWidth="1"/>
    <col min="757" max="757" width="10.57421875" style="186" customWidth="1"/>
    <col min="758" max="761" width="6.140625" style="186" customWidth="1"/>
    <col min="762" max="774" width="11.421875" style="186" hidden="1" customWidth="1"/>
    <col min="775" max="777" width="11.421875" style="186" customWidth="1"/>
    <col min="778" max="778" width="13.00390625" style="186" customWidth="1"/>
    <col min="779" max="781" width="11.421875" style="186" hidden="1" customWidth="1"/>
    <col min="782" max="782" width="42.57421875" style="186" customWidth="1"/>
    <col min="783" max="783" width="11.421875" style="186" hidden="1" customWidth="1"/>
    <col min="784" max="784" width="14.28125" style="186" customWidth="1"/>
    <col min="785" max="785" width="11.421875" style="186" hidden="1" customWidth="1"/>
    <col min="786" max="786" width="13.8515625" style="186" customWidth="1"/>
    <col min="787" max="792" width="11.421875" style="186" hidden="1" customWidth="1"/>
    <col min="793" max="793" width="41.421875" style="186" customWidth="1"/>
    <col min="794" max="794" width="23.00390625" style="186" customWidth="1"/>
    <col min="795" max="822" width="11.421875" style="186" hidden="1" customWidth="1"/>
    <col min="823" max="1001" width="11.421875" style="186" customWidth="1"/>
    <col min="1002" max="1002" width="6.00390625" style="186" customWidth="1"/>
    <col min="1003" max="1003" width="18.140625" style="186" customWidth="1"/>
    <col min="1004" max="1004" width="24.57421875" style="186" customWidth="1"/>
    <col min="1005" max="1005" width="31.00390625" style="186" customWidth="1"/>
    <col min="1006" max="1006" width="12.7109375" style="186" customWidth="1"/>
    <col min="1007" max="1007" width="12.00390625" style="186" customWidth="1"/>
    <col min="1008" max="1008" width="19.8515625" style="186" customWidth="1"/>
    <col min="1009" max="1009" width="17.421875" style="186" customWidth="1"/>
    <col min="1010" max="1010" width="11.421875" style="186" customWidth="1"/>
    <col min="1011" max="1011" width="14.00390625" style="186" customWidth="1"/>
    <col min="1012" max="1012" width="11.57421875" style="186" customWidth="1"/>
    <col min="1013" max="1013" width="10.57421875" style="186" customWidth="1"/>
    <col min="1014" max="1017" width="6.140625" style="186" customWidth="1"/>
    <col min="1018" max="1030" width="11.421875" style="186" hidden="1" customWidth="1"/>
    <col min="1031" max="1033" width="11.421875" style="186" customWidth="1"/>
    <col min="1034" max="1034" width="13.00390625" style="186" customWidth="1"/>
    <col min="1035" max="1037" width="11.421875" style="186" hidden="1" customWidth="1"/>
    <col min="1038" max="1038" width="42.57421875" style="186" customWidth="1"/>
    <col min="1039" max="1039" width="11.421875" style="186" hidden="1" customWidth="1"/>
    <col min="1040" max="1040" width="14.28125" style="186" customWidth="1"/>
    <col min="1041" max="1041" width="11.421875" style="186" hidden="1" customWidth="1"/>
    <col min="1042" max="1042" width="13.8515625" style="186" customWidth="1"/>
    <col min="1043" max="1048" width="11.421875" style="186" hidden="1" customWidth="1"/>
    <col min="1049" max="1049" width="41.421875" style="186" customWidth="1"/>
    <col min="1050" max="1050" width="23.00390625" style="186" customWidth="1"/>
    <col min="1051" max="1078" width="11.421875" style="186" hidden="1" customWidth="1"/>
    <col min="1079" max="1257" width="11.421875" style="186" customWidth="1"/>
    <col min="1258" max="1258" width="6.00390625" style="186" customWidth="1"/>
    <col min="1259" max="1259" width="18.140625" style="186" customWidth="1"/>
    <col min="1260" max="1260" width="24.57421875" style="186" customWidth="1"/>
    <col min="1261" max="1261" width="31.00390625" style="186" customWidth="1"/>
    <col min="1262" max="1262" width="12.7109375" style="186" customWidth="1"/>
    <col min="1263" max="1263" width="12.00390625" style="186" customWidth="1"/>
    <col min="1264" max="1264" width="19.8515625" style="186" customWidth="1"/>
    <col min="1265" max="1265" width="17.421875" style="186" customWidth="1"/>
    <col min="1266" max="1266" width="11.421875" style="186" customWidth="1"/>
    <col min="1267" max="1267" width="14.00390625" style="186" customWidth="1"/>
    <col min="1268" max="1268" width="11.57421875" style="186" customWidth="1"/>
    <col min="1269" max="1269" width="10.57421875" style="186" customWidth="1"/>
    <col min="1270" max="1273" width="6.140625" style="186" customWidth="1"/>
    <col min="1274" max="1286" width="11.421875" style="186" hidden="1" customWidth="1"/>
    <col min="1287" max="1289" width="11.421875" style="186" customWidth="1"/>
    <col min="1290" max="1290" width="13.00390625" style="186" customWidth="1"/>
    <col min="1291" max="1293" width="11.421875" style="186" hidden="1" customWidth="1"/>
    <col min="1294" max="1294" width="42.57421875" style="186" customWidth="1"/>
    <col min="1295" max="1295" width="11.421875" style="186" hidden="1" customWidth="1"/>
    <col min="1296" max="1296" width="14.28125" style="186" customWidth="1"/>
    <col min="1297" max="1297" width="11.421875" style="186" hidden="1" customWidth="1"/>
    <col min="1298" max="1298" width="13.8515625" style="186" customWidth="1"/>
    <col min="1299" max="1304" width="11.421875" style="186" hidden="1" customWidth="1"/>
    <col min="1305" max="1305" width="41.421875" style="186" customWidth="1"/>
    <col min="1306" max="1306" width="23.00390625" style="186" customWidth="1"/>
    <col min="1307" max="1334" width="11.421875" style="186" hidden="1" customWidth="1"/>
    <col min="1335" max="1513" width="11.421875" style="186" customWidth="1"/>
    <col min="1514" max="1514" width="6.00390625" style="186" customWidth="1"/>
    <col min="1515" max="1515" width="18.140625" style="186" customWidth="1"/>
    <col min="1516" max="1516" width="24.57421875" style="186" customWidth="1"/>
    <col min="1517" max="1517" width="31.00390625" style="186" customWidth="1"/>
    <col min="1518" max="1518" width="12.7109375" style="186" customWidth="1"/>
    <col min="1519" max="1519" width="12.00390625" style="186" customWidth="1"/>
    <col min="1520" max="1520" width="19.8515625" style="186" customWidth="1"/>
    <col min="1521" max="1521" width="17.421875" style="186" customWidth="1"/>
    <col min="1522" max="1522" width="11.421875" style="186" customWidth="1"/>
    <col min="1523" max="1523" width="14.00390625" style="186" customWidth="1"/>
    <col min="1524" max="1524" width="11.57421875" style="186" customWidth="1"/>
    <col min="1525" max="1525" width="10.57421875" style="186" customWidth="1"/>
    <col min="1526" max="1529" width="6.140625" style="186" customWidth="1"/>
    <col min="1530" max="1542" width="11.421875" style="186" hidden="1" customWidth="1"/>
    <col min="1543" max="1545" width="11.421875" style="186" customWidth="1"/>
    <col min="1546" max="1546" width="13.00390625" style="186" customWidth="1"/>
    <col min="1547" max="1549" width="11.421875" style="186" hidden="1" customWidth="1"/>
    <col min="1550" max="1550" width="42.57421875" style="186" customWidth="1"/>
    <col min="1551" max="1551" width="11.421875" style="186" hidden="1" customWidth="1"/>
    <col min="1552" max="1552" width="14.28125" style="186" customWidth="1"/>
    <col min="1553" max="1553" width="11.421875" style="186" hidden="1" customWidth="1"/>
    <col min="1554" max="1554" width="13.8515625" style="186" customWidth="1"/>
    <col min="1555" max="1560" width="11.421875" style="186" hidden="1" customWidth="1"/>
    <col min="1561" max="1561" width="41.421875" style="186" customWidth="1"/>
    <col min="1562" max="1562" width="23.00390625" style="186" customWidth="1"/>
    <col min="1563" max="1590" width="11.421875" style="186" hidden="1" customWidth="1"/>
    <col min="1591" max="1769" width="11.421875" style="186" customWidth="1"/>
    <col min="1770" max="1770" width="6.00390625" style="186" customWidth="1"/>
    <col min="1771" max="1771" width="18.140625" style="186" customWidth="1"/>
    <col min="1772" max="1772" width="24.57421875" style="186" customWidth="1"/>
    <col min="1773" max="1773" width="31.00390625" style="186" customWidth="1"/>
    <col min="1774" max="1774" width="12.7109375" style="186" customWidth="1"/>
    <col min="1775" max="1775" width="12.00390625" style="186" customWidth="1"/>
    <col min="1776" max="1776" width="19.8515625" style="186" customWidth="1"/>
    <col min="1777" max="1777" width="17.421875" style="186" customWidth="1"/>
    <col min="1778" max="1778" width="11.421875" style="186" customWidth="1"/>
    <col min="1779" max="1779" width="14.00390625" style="186" customWidth="1"/>
    <col min="1780" max="1780" width="11.57421875" style="186" customWidth="1"/>
    <col min="1781" max="1781" width="10.57421875" style="186" customWidth="1"/>
    <col min="1782" max="1785" width="6.140625" style="186" customWidth="1"/>
    <col min="1786" max="1798" width="11.421875" style="186" hidden="1" customWidth="1"/>
    <col min="1799" max="1801" width="11.421875" style="186" customWidth="1"/>
    <col min="1802" max="1802" width="13.00390625" style="186" customWidth="1"/>
    <col min="1803" max="1805" width="11.421875" style="186" hidden="1" customWidth="1"/>
    <col min="1806" max="1806" width="42.57421875" style="186" customWidth="1"/>
    <col min="1807" max="1807" width="11.421875" style="186" hidden="1" customWidth="1"/>
    <col min="1808" max="1808" width="14.28125" style="186" customWidth="1"/>
    <col min="1809" max="1809" width="11.421875" style="186" hidden="1" customWidth="1"/>
    <col min="1810" max="1810" width="13.8515625" style="186" customWidth="1"/>
    <col min="1811" max="1816" width="11.421875" style="186" hidden="1" customWidth="1"/>
    <col min="1817" max="1817" width="41.421875" style="186" customWidth="1"/>
    <col min="1818" max="1818" width="23.00390625" style="186" customWidth="1"/>
    <col min="1819" max="1846" width="11.421875" style="186" hidden="1" customWidth="1"/>
    <col min="1847" max="2025" width="11.421875" style="186" customWidth="1"/>
    <col min="2026" max="2026" width="6.00390625" style="186" customWidth="1"/>
    <col min="2027" max="2027" width="18.140625" style="186" customWidth="1"/>
    <col min="2028" max="2028" width="24.57421875" style="186" customWidth="1"/>
    <col min="2029" max="2029" width="31.00390625" style="186" customWidth="1"/>
    <col min="2030" max="2030" width="12.7109375" style="186" customWidth="1"/>
    <col min="2031" max="2031" width="12.00390625" style="186" customWidth="1"/>
    <col min="2032" max="2032" width="19.8515625" style="186" customWidth="1"/>
    <col min="2033" max="2033" width="17.421875" style="186" customWidth="1"/>
    <col min="2034" max="2034" width="11.421875" style="186" customWidth="1"/>
    <col min="2035" max="2035" width="14.00390625" style="186" customWidth="1"/>
    <col min="2036" max="2036" width="11.57421875" style="186" customWidth="1"/>
    <col min="2037" max="2037" width="10.57421875" style="186" customWidth="1"/>
    <col min="2038" max="2041" width="6.140625" style="186" customWidth="1"/>
    <col min="2042" max="2054" width="11.421875" style="186" hidden="1" customWidth="1"/>
    <col min="2055" max="2057" width="11.421875" style="186" customWidth="1"/>
    <col min="2058" max="2058" width="13.00390625" style="186" customWidth="1"/>
    <col min="2059" max="2061" width="11.421875" style="186" hidden="1" customWidth="1"/>
    <col min="2062" max="2062" width="42.57421875" style="186" customWidth="1"/>
    <col min="2063" max="2063" width="11.421875" style="186" hidden="1" customWidth="1"/>
    <col min="2064" max="2064" width="14.28125" style="186" customWidth="1"/>
    <col min="2065" max="2065" width="11.421875" style="186" hidden="1" customWidth="1"/>
    <col min="2066" max="2066" width="13.8515625" style="186" customWidth="1"/>
    <col min="2067" max="2072" width="11.421875" style="186" hidden="1" customWidth="1"/>
    <col min="2073" max="2073" width="41.421875" style="186" customWidth="1"/>
    <col min="2074" max="2074" width="23.00390625" style="186" customWidth="1"/>
    <col min="2075" max="2102" width="11.421875" style="186" hidden="1" customWidth="1"/>
    <col min="2103" max="2281" width="11.421875" style="186" customWidth="1"/>
    <col min="2282" max="2282" width="6.00390625" style="186" customWidth="1"/>
    <col min="2283" max="2283" width="18.140625" style="186" customWidth="1"/>
    <col min="2284" max="2284" width="24.57421875" style="186" customWidth="1"/>
    <col min="2285" max="2285" width="31.00390625" style="186" customWidth="1"/>
    <col min="2286" max="2286" width="12.7109375" style="186" customWidth="1"/>
    <col min="2287" max="2287" width="12.00390625" style="186" customWidth="1"/>
    <col min="2288" max="2288" width="19.8515625" style="186" customWidth="1"/>
    <col min="2289" max="2289" width="17.421875" style="186" customWidth="1"/>
    <col min="2290" max="2290" width="11.421875" style="186" customWidth="1"/>
    <col min="2291" max="2291" width="14.00390625" style="186" customWidth="1"/>
    <col min="2292" max="2292" width="11.57421875" style="186" customWidth="1"/>
    <col min="2293" max="2293" width="10.57421875" style="186" customWidth="1"/>
    <col min="2294" max="2297" width="6.140625" style="186" customWidth="1"/>
    <col min="2298" max="2310" width="11.421875" style="186" hidden="1" customWidth="1"/>
    <col min="2311" max="2313" width="11.421875" style="186" customWidth="1"/>
    <col min="2314" max="2314" width="13.00390625" style="186" customWidth="1"/>
    <col min="2315" max="2317" width="11.421875" style="186" hidden="1" customWidth="1"/>
    <col min="2318" max="2318" width="42.57421875" style="186" customWidth="1"/>
    <col min="2319" max="2319" width="11.421875" style="186" hidden="1" customWidth="1"/>
    <col min="2320" max="2320" width="14.28125" style="186" customWidth="1"/>
    <col min="2321" max="2321" width="11.421875" style="186" hidden="1" customWidth="1"/>
    <col min="2322" max="2322" width="13.8515625" style="186" customWidth="1"/>
    <col min="2323" max="2328" width="11.421875" style="186" hidden="1" customWidth="1"/>
    <col min="2329" max="2329" width="41.421875" style="186" customWidth="1"/>
    <col min="2330" max="2330" width="23.00390625" style="186" customWidth="1"/>
    <col min="2331" max="2358" width="11.421875" style="186" hidden="1" customWidth="1"/>
    <col min="2359" max="2537" width="11.421875" style="186" customWidth="1"/>
    <col min="2538" max="2538" width="6.00390625" style="186" customWidth="1"/>
    <col min="2539" max="2539" width="18.140625" style="186" customWidth="1"/>
    <col min="2540" max="2540" width="24.57421875" style="186" customWidth="1"/>
    <col min="2541" max="2541" width="31.00390625" style="186" customWidth="1"/>
    <col min="2542" max="2542" width="12.7109375" style="186" customWidth="1"/>
    <col min="2543" max="2543" width="12.00390625" style="186" customWidth="1"/>
    <col min="2544" max="2544" width="19.8515625" style="186" customWidth="1"/>
    <col min="2545" max="2545" width="17.421875" style="186" customWidth="1"/>
    <col min="2546" max="2546" width="11.421875" style="186" customWidth="1"/>
    <col min="2547" max="2547" width="14.00390625" style="186" customWidth="1"/>
    <col min="2548" max="2548" width="11.57421875" style="186" customWidth="1"/>
    <col min="2549" max="2549" width="10.57421875" style="186" customWidth="1"/>
    <col min="2550" max="2553" width="6.140625" style="186" customWidth="1"/>
    <col min="2554" max="2566" width="11.421875" style="186" hidden="1" customWidth="1"/>
    <col min="2567" max="2569" width="11.421875" style="186" customWidth="1"/>
    <col min="2570" max="2570" width="13.00390625" style="186" customWidth="1"/>
    <col min="2571" max="2573" width="11.421875" style="186" hidden="1" customWidth="1"/>
    <col min="2574" max="2574" width="42.57421875" style="186" customWidth="1"/>
    <col min="2575" max="2575" width="11.421875" style="186" hidden="1" customWidth="1"/>
    <col min="2576" max="2576" width="14.28125" style="186" customWidth="1"/>
    <col min="2577" max="2577" width="11.421875" style="186" hidden="1" customWidth="1"/>
    <col min="2578" max="2578" width="13.8515625" style="186" customWidth="1"/>
    <col min="2579" max="2584" width="11.421875" style="186" hidden="1" customWidth="1"/>
    <col min="2585" max="2585" width="41.421875" style="186" customWidth="1"/>
    <col min="2586" max="2586" width="23.00390625" style="186" customWidth="1"/>
    <col min="2587" max="2614" width="11.421875" style="186" hidden="1" customWidth="1"/>
    <col min="2615" max="2793" width="11.421875" style="186" customWidth="1"/>
    <col min="2794" max="2794" width="6.00390625" style="186" customWidth="1"/>
    <col min="2795" max="2795" width="18.140625" style="186" customWidth="1"/>
    <col min="2796" max="2796" width="24.57421875" style="186" customWidth="1"/>
    <col min="2797" max="2797" width="31.00390625" style="186" customWidth="1"/>
    <col min="2798" max="2798" width="12.7109375" style="186" customWidth="1"/>
    <col min="2799" max="2799" width="12.00390625" style="186" customWidth="1"/>
    <col min="2800" max="2800" width="19.8515625" style="186" customWidth="1"/>
    <col min="2801" max="2801" width="17.421875" style="186" customWidth="1"/>
    <col min="2802" max="2802" width="11.421875" style="186" customWidth="1"/>
    <col min="2803" max="2803" width="14.00390625" style="186" customWidth="1"/>
    <col min="2804" max="2804" width="11.57421875" style="186" customWidth="1"/>
    <col min="2805" max="2805" width="10.57421875" style="186" customWidth="1"/>
    <col min="2806" max="2809" width="6.140625" style="186" customWidth="1"/>
    <col min="2810" max="2822" width="11.421875" style="186" hidden="1" customWidth="1"/>
    <col min="2823" max="2825" width="11.421875" style="186" customWidth="1"/>
    <col min="2826" max="2826" width="13.00390625" style="186" customWidth="1"/>
    <col min="2827" max="2829" width="11.421875" style="186" hidden="1" customWidth="1"/>
    <col min="2830" max="2830" width="42.57421875" style="186" customWidth="1"/>
    <col min="2831" max="2831" width="11.421875" style="186" hidden="1" customWidth="1"/>
    <col min="2832" max="2832" width="14.28125" style="186" customWidth="1"/>
    <col min="2833" max="2833" width="11.421875" style="186" hidden="1" customWidth="1"/>
    <col min="2834" max="2834" width="13.8515625" style="186" customWidth="1"/>
    <col min="2835" max="2840" width="11.421875" style="186" hidden="1" customWidth="1"/>
    <col min="2841" max="2841" width="41.421875" style="186" customWidth="1"/>
    <col min="2842" max="2842" width="23.00390625" style="186" customWidth="1"/>
    <col min="2843" max="2870" width="11.421875" style="186" hidden="1" customWidth="1"/>
    <col min="2871" max="3049" width="11.421875" style="186" customWidth="1"/>
    <col min="3050" max="3050" width="6.00390625" style="186" customWidth="1"/>
    <col min="3051" max="3051" width="18.140625" style="186" customWidth="1"/>
    <col min="3052" max="3052" width="24.57421875" style="186" customWidth="1"/>
    <col min="3053" max="3053" width="31.00390625" style="186" customWidth="1"/>
    <col min="3054" max="3054" width="12.7109375" style="186" customWidth="1"/>
    <col min="3055" max="3055" width="12.00390625" style="186" customWidth="1"/>
    <col min="3056" max="3056" width="19.8515625" style="186" customWidth="1"/>
    <col min="3057" max="3057" width="17.421875" style="186" customWidth="1"/>
    <col min="3058" max="3058" width="11.421875" style="186" customWidth="1"/>
    <col min="3059" max="3059" width="14.00390625" style="186" customWidth="1"/>
    <col min="3060" max="3060" width="11.57421875" style="186" customWidth="1"/>
    <col min="3061" max="3061" width="10.57421875" style="186" customWidth="1"/>
    <col min="3062" max="3065" width="6.140625" style="186" customWidth="1"/>
    <col min="3066" max="3078" width="11.421875" style="186" hidden="1" customWidth="1"/>
    <col min="3079" max="3081" width="11.421875" style="186" customWidth="1"/>
    <col min="3082" max="3082" width="13.00390625" style="186" customWidth="1"/>
    <col min="3083" max="3085" width="11.421875" style="186" hidden="1" customWidth="1"/>
    <col min="3086" max="3086" width="42.57421875" style="186" customWidth="1"/>
    <col min="3087" max="3087" width="11.421875" style="186" hidden="1" customWidth="1"/>
    <col min="3088" max="3088" width="14.28125" style="186" customWidth="1"/>
    <col min="3089" max="3089" width="11.421875" style="186" hidden="1" customWidth="1"/>
    <col min="3090" max="3090" width="13.8515625" style="186" customWidth="1"/>
    <col min="3091" max="3096" width="11.421875" style="186" hidden="1" customWidth="1"/>
    <col min="3097" max="3097" width="41.421875" style="186" customWidth="1"/>
    <col min="3098" max="3098" width="23.00390625" style="186" customWidth="1"/>
    <col min="3099" max="3126" width="11.421875" style="186" hidden="1" customWidth="1"/>
    <col min="3127" max="3305" width="11.421875" style="186" customWidth="1"/>
    <col min="3306" max="3306" width="6.00390625" style="186" customWidth="1"/>
    <col min="3307" max="3307" width="18.140625" style="186" customWidth="1"/>
    <col min="3308" max="3308" width="24.57421875" style="186" customWidth="1"/>
    <col min="3309" max="3309" width="31.00390625" style="186" customWidth="1"/>
    <col min="3310" max="3310" width="12.7109375" style="186" customWidth="1"/>
    <col min="3311" max="3311" width="12.00390625" style="186" customWidth="1"/>
    <col min="3312" max="3312" width="19.8515625" style="186" customWidth="1"/>
    <col min="3313" max="3313" width="17.421875" style="186" customWidth="1"/>
    <col min="3314" max="3314" width="11.421875" style="186" customWidth="1"/>
    <col min="3315" max="3315" width="14.00390625" style="186" customWidth="1"/>
    <col min="3316" max="3316" width="11.57421875" style="186" customWidth="1"/>
    <col min="3317" max="3317" width="10.57421875" style="186" customWidth="1"/>
    <col min="3318" max="3321" width="6.140625" style="186" customWidth="1"/>
    <col min="3322" max="3334" width="11.421875" style="186" hidden="1" customWidth="1"/>
    <col min="3335" max="3337" width="11.421875" style="186" customWidth="1"/>
    <col min="3338" max="3338" width="13.00390625" style="186" customWidth="1"/>
    <col min="3339" max="3341" width="11.421875" style="186" hidden="1" customWidth="1"/>
    <col min="3342" max="3342" width="42.57421875" style="186" customWidth="1"/>
    <col min="3343" max="3343" width="11.421875" style="186" hidden="1" customWidth="1"/>
    <col min="3344" max="3344" width="14.28125" style="186" customWidth="1"/>
    <col min="3345" max="3345" width="11.421875" style="186" hidden="1" customWidth="1"/>
    <col min="3346" max="3346" width="13.8515625" style="186" customWidth="1"/>
    <col min="3347" max="3352" width="11.421875" style="186" hidden="1" customWidth="1"/>
    <col min="3353" max="3353" width="41.421875" style="186" customWidth="1"/>
    <col min="3354" max="3354" width="23.00390625" style="186" customWidth="1"/>
    <col min="3355" max="3382" width="11.421875" style="186" hidden="1" customWidth="1"/>
    <col min="3383" max="3561" width="11.421875" style="186" customWidth="1"/>
    <col min="3562" max="3562" width="6.00390625" style="186" customWidth="1"/>
    <col min="3563" max="3563" width="18.140625" style="186" customWidth="1"/>
    <col min="3564" max="3564" width="24.57421875" style="186" customWidth="1"/>
    <col min="3565" max="3565" width="31.00390625" style="186" customWidth="1"/>
    <col min="3566" max="3566" width="12.7109375" style="186" customWidth="1"/>
    <col min="3567" max="3567" width="12.00390625" style="186" customWidth="1"/>
    <col min="3568" max="3568" width="19.8515625" style="186" customWidth="1"/>
    <col min="3569" max="3569" width="17.421875" style="186" customWidth="1"/>
    <col min="3570" max="3570" width="11.421875" style="186" customWidth="1"/>
    <col min="3571" max="3571" width="14.00390625" style="186" customWidth="1"/>
    <col min="3572" max="3572" width="11.57421875" style="186" customWidth="1"/>
    <col min="3573" max="3573" width="10.57421875" style="186" customWidth="1"/>
    <col min="3574" max="3577" width="6.140625" style="186" customWidth="1"/>
    <col min="3578" max="3590" width="11.421875" style="186" hidden="1" customWidth="1"/>
    <col min="3591" max="3593" width="11.421875" style="186" customWidth="1"/>
    <col min="3594" max="3594" width="13.00390625" style="186" customWidth="1"/>
    <col min="3595" max="3597" width="11.421875" style="186" hidden="1" customWidth="1"/>
    <col min="3598" max="3598" width="42.57421875" style="186" customWidth="1"/>
    <col min="3599" max="3599" width="11.421875" style="186" hidden="1" customWidth="1"/>
    <col min="3600" max="3600" width="14.28125" style="186" customWidth="1"/>
    <col min="3601" max="3601" width="11.421875" style="186" hidden="1" customWidth="1"/>
    <col min="3602" max="3602" width="13.8515625" style="186" customWidth="1"/>
    <col min="3603" max="3608" width="11.421875" style="186" hidden="1" customWidth="1"/>
    <col min="3609" max="3609" width="41.421875" style="186" customWidth="1"/>
    <col min="3610" max="3610" width="23.00390625" style="186" customWidth="1"/>
    <col min="3611" max="3638" width="11.421875" style="186" hidden="1" customWidth="1"/>
    <col min="3639" max="3817" width="11.421875" style="186" customWidth="1"/>
    <col min="3818" max="3818" width="6.00390625" style="186" customWidth="1"/>
    <col min="3819" max="3819" width="18.140625" style="186" customWidth="1"/>
    <col min="3820" max="3820" width="24.57421875" style="186" customWidth="1"/>
    <col min="3821" max="3821" width="31.00390625" style="186" customWidth="1"/>
    <col min="3822" max="3822" width="12.7109375" style="186" customWidth="1"/>
    <col min="3823" max="3823" width="12.00390625" style="186" customWidth="1"/>
    <col min="3824" max="3824" width="19.8515625" style="186" customWidth="1"/>
    <col min="3825" max="3825" width="17.421875" style="186" customWidth="1"/>
    <col min="3826" max="3826" width="11.421875" style="186" customWidth="1"/>
    <col min="3827" max="3827" width="14.00390625" style="186" customWidth="1"/>
    <col min="3828" max="3828" width="11.57421875" style="186" customWidth="1"/>
    <col min="3829" max="3829" width="10.57421875" style="186" customWidth="1"/>
    <col min="3830" max="3833" width="6.140625" style="186" customWidth="1"/>
    <col min="3834" max="3846" width="11.421875" style="186" hidden="1" customWidth="1"/>
    <col min="3847" max="3849" width="11.421875" style="186" customWidth="1"/>
    <col min="3850" max="3850" width="13.00390625" style="186" customWidth="1"/>
    <col min="3851" max="3853" width="11.421875" style="186" hidden="1" customWidth="1"/>
    <col min="3854" max="3854" width="42.57421875" style="186" customWidth="1"/>
    <col min="3855" max="3855" width="11.421875" style="186" hidden="1" customWidth="1"/>
    <col min="3856" max="3856" width="14.28125" style="186" customWidth="1"/>
    <col min="3857" max="3857" width="11.421875" style="186" hidden="1" customWidth="1"/>
    <col min="3858" max="3858" width="13.8515625" style="186" customWidth="1"/>
    <col min="3859" max="3864" width="11.421875" style="186" hidden="1" customWidth="1"/>
    <col min="3865" max="3865" width="41.421875" style="186" customWidth="1"/>
    <col min="3866" max="3866" width="23.00390625" style="186" customWidth="1"/>
    <col min="3867" max="3894" width="11.421875" style="186" hidden="1" customWidth="1"/>
    <col min="3895" max="4073" width="11.421875" style="186" customWidth="1"/>
    <col min="4074" max="4074" width="6.00390625" style="186" customWidth="1"/>
    <col min="4075" max="4075" width="18.140625" style="186" customWidth="1"/>
    <col min="4076" max="4076" width="24.57421875" style="186" customWidth="1"/>
    <col min="4077" max="4077" width="31.00390625" style="186" customWidth="1"/>
    <col min="4078" max="4078" width="12.7109375" style="186" customWidth="1"/>
    <col min="4079" max="4079" width="12.00390625" style="186" customWidth="1"/>
    <col min="4080" max="4080" width="19.8515625" style="186" customWidth="1"/>
    <col min="4081" max="4081" width="17.421875" style="186" customWidth="1"/>
    <col min="4082" max="4082" width="11.421875" style="186" customWidth="1"/>
    <col min="4083" max="4083" width="14.00390625" style="186" customWidth="1"/>
    <col min="4084" max="4084" width="11.57421875" style="186" customWidth="1"/>
    <col min="4085" max="4085" width="10.57421875" style="186" customWidth="1"/>
    <col min="4086" max="4089" width="6.140625" style="186" customWidth="1"/>
    <col min="4090" max="4102" width="11.421875" style="186" hidden="1" customWidth="1"/>
    <col min="4103" max="4105" width="11.421875" style="186" customWidth="1"/>
    <col min="4106" max="4106" width="13.00390625" style="186" customWidth="1"/>
    <col min="4107" max="4109" width="11.421875" style="186" hidden="1" customWidth="1"/>
    <col min="4110" max="4110" width="42.57421875" style="186" customWidth="1"/>
    <col min="4111" max="4111" width="11.421875" style="186" hidden="1" customWidth="1"/>
    <col min="4112" max="4112" width="14.28125" style="186" customWidth="1"/>
    <col min="4113" max="4113" width="11.421875" style="186" hidden="1" customWidth="1"/>
    <col min="4114" max="4114" width="13.8515625" style="186" customWidth="1"/>
    <col min="4115" max="4120" width="11.421875" style="186" hidden="1" customWidth="1"/>
    <col min="4121" max="4121" width="41.421875" style="186" customWidth="1"/>
    <col min="4122" max="4122" width="23.00390625" style="186" customWidth="1"/>
    <col min="4123" max="4150" width="11.421875" style="186" hidden="1" customWidth="1"/>
    <col min="4151" max="4329" width="11.421875" style="186" customWidth="1"/>
    <col min="4330" max="4330" width="6.00390625" style="186" customWidth="1"/>
    <col min="4331" max="4331" width="18.140625" style="186" customWidth="1"/>
    <col min="4332" max="4332" width="24.57421875" style="186" customWidth="1"/>
    <col min="4333" max="4333" width="31.00390625" style="186" customWidth="1"/>
    <col min="4334" max="4334" width="12.7109375" style="186" customWidth="1"/>
    <col min="4335" max="4335" width="12.00390625" style="186" customWidth="1"/>
    <col min="4336" max="4336" width="19.8515625" style="186" customWidth="1"/>
    <col min="4337" max="4337" width="17.421875" style="186" customWidth="1"/>
    <col min="4338" max="4338" width="11.421875" style="186" customWidth="1"/>
    <col min="4339" max="4339" width="14.00390625" style="186" customWidth="1"/>
    <col min="4340" max="4340" width="11.57421875" style="186" customWidth="1"/>
    <col min="4341" max="4341" width="10.57421875" style="186" customWidth="1"/>
    <col min="4342" max="4345" width="6.140625" style="186" customWidth="1"/>
    <col min="4346" max="4358" width="11.421875" style="186" hidden="1" customWidth="1"/>
    <col min="4359" max="4361" width="11.421875" style="186" customWidth="1"/>
    <col min="4362" max="4362" width="13.00390625" style="186" customWidth="1"/>
    <col min="4363" max="4365" width="11.421875" style="186" hidden="1" customWidth="1"/>
    <col min="4366" max="4366" width="42.57421875" style="186" customWidth="1"/>
    <col min="4367" max="4367" width="11.421875" style="186" hidden="1" customWidth="1"/>
    <col min="4368" max="4368" width="14.28125" style="186" customWidth="1"/>
    <col min="4369" max="4369" width="11.421875" style="186" hidden="1" customWidth="1"/>
    <col min="4370" max="4370" width="13.8515625" style="186" customWidth="1"/>
    <col min="4371" max="4376" width="11.421875" style="186" hidden="1" customWidth="1"/>
    <col min="4377" max="4377" width="41.421875" style="186" customWidth="1"/>
    <col min="4378" max="4378" width="23.00390625" style="186" customWidth="1"/>
    <col min="4379" max="4406" width="11.421875" style="186" hidden="1" customWidth="1"/>
    <col min="4407" max="4585" width="11.421875" style="186" customWidth="1"/>
    <col min="4586" max="4586" width="6.00390625" style="186" customWidth="1"/>
    <col min="4587" max="4587" width="18.140625" style="186" customWidth="1"/>
    <col min="4588" max="4588" width="24.57421875" style="186" customWidth="1"/>
    <col min="4589" max="4589" width="31.00390625" style="186" customWidth="1"/>
    <col min="4590" max="4590" width="12.7109375" style="186" customWidth="1"/>
    <col min="4591" max="4591" width="12.00390625" style="186" customWidth="1"/>
    <col min="4592" max="4592" width="19.8515625" style="186" customWidth="1"/>
    <col min="4593" max="4593" width="17.421875" style="186" customWidth="1"/>
    <col min="4594" max="4594" width="11.421875" style="186" customWidth="1"/>
    <col min="4595" max="4595" width="14.00390625" style="186" customWidth="1"/>
    <col min="4596" max="4596" width="11.57421875" style="186" customWidth="1"/>
    <col min="4597" max="4597" width="10.57421875" style="186" customWidth="1"/>
    <col min="4598" max="4601" width="6.140625" style="186" customWidth="1"/>
    <col min="4602" max="4614" width="11.421875" style="186" hidden="1" customWidth="1"/>
    <col min="4615" max="4617" width="11.421875" style="186" customWidth="1"/>
    <col min="4618" max="4618" width="13.00390625" style="186" customWidth="1"/>
    <col min="4619" max="4621" width="11.421875" style="186" hidden="1" customWidth="1"/>
    <col min="4622" max="4622" width="42.57421875" style="186" customWidth="1"/>
    <col min="4623" max="4623" width="11.421875" style="186" hidden="1" customWidth="1"/>
    <col min="4624" max="4624" width="14.28125" style="186" customWidth="1"/>
    <col min="4625" max="4625" width="11.421875" style="186" hidden="1" customWidth="1"/>
    <col min="4626" max="4626" width="13.8515625" style="186" customWidth="1"/>
    <col min="4627" max="4632" width="11.421875" style="186" hidden="1" customWidth="1"/>
    <col min="4633" max="4633" width="41.421875" style="186" customWidth="1"/>
    <col min="4634" max="4634" width="23.00390625" style="186" customWidth="1"/>
    <col min="4635" max="4662" width="11.421875" style="186" hidden="1" customWidth="1"/>
    <col min="4663" max="4841" width="11.421875" style="186" customWidth="1"/>
    <col min="4842" max="4842" width="6.00390625" style="186" customWidth="1"/>
    <col min="4843" max="4843" width="18.140625" style="186" customWidth="1"/>
    <col min="4844" max="4844" width="24.57421875" style="186" customWidth="1"/>
    <col min="4845" max="4845" width="31.00390625" style="186" customWidth="1"/>
    <col min="4846" max="4846" width="12.7109375" style="186" customWidth="1"/>
    <col min="4847" max="4847" width="12.00390625" style="186" customWidth="1"/>
    <col min="4848" max="4848" width="19.8515625" style="186" customWidth="1"/>
    <col min="4849" max="4849" width="17.421875" style="186" customWidth="1"/>
    <col min="4850" max="4850" width="11.421875" style="186" customWidth="1"/>
    <col min="4851" max="4851" width="14.00390625" style="186" customWidth="1"/>
    <col min="4852" max="4852" width="11.57421875" style="186" customWidth="1"/>
    <col min="4853" max="4853" width="10.57421875" style="186" customWidth="1"/>
    <col min="4854" max="4857" width="6.140625" style="186" customWidth="1"/>
    <col min="4858" max="4870" width="11.421875" style="186" hidden="1" customWidth="1"/>
    <col min="4871" max="4873" width="11.421875" style="186" customWidth="1"/>
    <col min="4874" max="4874" width="13.00390625" style="186" customWidth="1"/>
    <col min="4875" max="4877" width="11.421875" style="186" hidden="1" customWidth="1"/>
    <col min="4878" max="4878" width="42.57421875" style="186" customWidth="1"/>
    <col min="4879" max="4879" width="11.421875" style="186" hidden="1" customWidth="1"/>
    <col min="4880" max="4880" width="14.28125" style="186" customWidth="1"/>
    <col min="4881" max="4881" width="11.421875" style="186" hidden="1" customWidth="1"/>
    <col min="4882" max="4882" width="13.8515625" style="186" customWidth="1"/>
    <col min="4883" max="4888" width="11.421875" style="186" hidden="1" customWidth="1"/>
    <col min="4889" max="4889" width="41.421875" style="186" customWidth="1"/>
    <col min="4890" max="4890" width="23.00390625" style="186" customWidth="1"/>
    <col min="4891" max="4918" width="11.421875" style="186" hidden="1" customWidth="1"/>
    <col min="4919" max="5097" width="11.421875" style="186" customWidth="1"/>
    <col min="5098" max="5098" width="6.00390625" style="186" customWidth="1"/>
    <col min="5099" max="5099" width="18.140625" style="186" customWidth="1"/>
    <col min="5100" max="5100" width="24.57421875" style="186" customWidth="1"/>
    <col min="5101" max="5101" width="31.00390625" style="186" customWidth="1"/>
    <col min="5102" max="5102" width="12.7109375" style="186" customWidth="1"/>
    <col min="5103" max="5103" width="12.00390625" style="186" customWidth="1"/>
    <col min="5104" max="5104" width="19.8515625" style="186" customWidth="1"/>
    <col min="5105" max="5105" width="17.421875" style="186" customWidth="1"/>
    <col min="5106" max="5106" width="11.421875" style="186" customWidth="1"/>
    <col min="5107" max="5107" width="14.00390625" style="186" customWidth="1"/>
    <col min="5108" max="5108" width="11.57421875" style="186" customWidth="1"/>
    <col min="5109" max="5109" width="10.57421875" style="186" customWidth="1"/>
    <col min="5110" max="5113" width="6.140625" style="186" customWidth="1"/>
    <col min="5114" max="5126" width="11.421875" style="186" hidden="1" customWidth="1"/>
    <col min="5127" max="5129" width="11.421875" style="186" customWidth="1"/>
    <col min="5130" max="5130" width="13.00390625" style="186" customWidth="1"/>
    <col min="5131" max="5133" width="11.421875" style="186" hidden="1" customWidth="1"/>
    <col min="5134" max="5134" width="42.57421875" style="186" customWidth="1"/>
    <col min="5135" max="5135" width="11.421875" style="186" hidden="1" customWidth="1"/>
    <col min="5136" max="5136" width="14.28125" style="186" customWidth="1"/>
    <col min="5137" max="5137" width="11.421875" style="186" hidden="1" customWidth="1"/>
    <col min="5138" max="5138" width="13.8515625" style="186" customWidth="1"/>
    <col min="5139" max="5144" width="11.421875" style="186" hidden="1" customWidth="1"/>
    <col min="5145" max="5145" width="41.421875" style="186" customWidth="1"/>
    <col min="5146" max="5146" width="23.00390625" style="186" customWidth="1"/>
    <col min="5147" max="5174" width="11.421875" style="186" hidden="1" customWidth="1"/>
    <col min="5175" max="5353" width="11.421875" style="186" customWidth="1"/>
    <col min="5354" max="5354" width="6.00390625" style="186" customWidth="1"/>
    <col min="5355" max="5355" width="18.140625" style="186" customWidth="1"/>
    <col min="5356" max="5356" width="24.57421875" style="186" customWidth="1"/>
    <col min="5357" max="5357" width="31.00390625" style="186" customWidth="1"/>
    <col min="5358" max="5358" width="12.7109375" style="186" customWidth="1"/>
    <col min="5359" max="5359" width="12.00390625" style="186" customWidth="1"/>
    <col min="5360" max="5360" width="19.8515625" style="186" customWidth="1"/>
    <col min="5361" max="5361" width="17.421875" style="186" customWidth="1"/>
    <col min="5362" max="5362" width="11.421875" style="186" customWidth="1"/>
    <col min="5363" max="5363" width="14.00390625" style="186" customWidth="1"/>
    <col min="5364" max="5364" width="11.57421875" style="186" customWidth="1"/>
    <col min="5365" max="5365" width="10.57421875" style="186" customWidth="1"/>
    <col min="5366" max="5369" width="6.140625" style="186" customWidth="1"/>
    <col min="5370" max="5382" width="11.421875" style="186" hidden="1" customWidth="1"/>
    <col min="5383" max="5385" width="11.421875" style="186" customWidth="1"/>
    <col min="5386" max="5386" width="13.00390625" style="186" customWidth="1"/>
    <col min="5387" max="5389" width="11.421875" style="186" hidden="1" customWidth="1"/>
    <col min="5390" max="5390" width="42.57421875" style="186" customWidth="1"/>
    <col min="5391" max="5391" width="11.421875" style="186" hidden="1" customWidth="1"/>
    <col min="5392" max="5392" width="14.28125" style="186" customWidth="1"/>
    <col min="5393" max="5393" width="11.421875" style="186" hidden="1" customWidth="1"/>
    <col min="5394" max="5394" width="13.8515625" style="186" customWidth="1"/>
    <col min="5395" max="5400" width="11.421875" style="186" hidden="1" customWidth="1"/>
    <col min="5401" max="5401" width="41.421875" style="186" customWidth="1"/>
    <col min="5402" max="5402" width="23.00390625" style="186" customWidth="1"/>
    <col min="5403" max="5430" width="11.421875" style="186" hidden="1" customWidth="1"/>
    <col min="5431" max="5609" width="11.421875" style="186" customWidth="1"/>
    <col min="5610" max="5610" width="6.00390625" style="186" customWidth="1"/>
    <col min="5611" max="5611" width="18.140625" style="186" customWidth="1"/>
    <col min="5612" max="5612" width="24.57421875" style="186" customWidth="1"/>
    <col min="5613" max="5613" width="31.00390625" style="186" customWidth="1"/>
    <col min="5614" max="5614" width="12.7109375" style="186" customWidth="1"/>
    <col min="5615" max="5615" width="12.00390625" style="186" customWidth="1"/>
    <col min="5616" max="5616" width="19.8515625" style="186" customWidth="1"/>
    <col min="5617" max="5617" width="17.421875" style="186" customWidth="1"/>
    <col min="5618" max="5618" width="11.421875" style="186" customWidth="1"/>
    <col min="5619" max="5619" width="14.00390625" style="186" customWidth="1"/>
    <col min="5620" max="5620" width="11.57421875" style="186" customWidth="1"/>
    <col min="5621" max="5621" width="10.57421875" style="186" customWidth="1"/>
    <col min="5622" max="5625" width="6.140625" style="186" customWidth="1"/>
    <col min="5626" max="5638" width="11.421875" style="186" hidden="1" customWidth="1"/>
    <col min="5639" max="5641" width="11.421875" style="186" customWidth="1"/>
    <col min="5642" max="5642" width="13.00390625" style="186" customWidth="1"/>
    <col min="5643" max="5645" width="11.421875" style="186" hidden="1" customWidth="1"/>
    <col min="5646" max="5646" width="42.57421875" style="186" customWidth="1"/>
    <col min="5647" max="5647" width="11.421875" style="186" hidden="1" customWidth="1"/>
    <col min="5648" max="5648" width="14.28125" style="186" customWidth="1"/>
    <col min="5649" max="5649" width="11.421875" style="186" hidden="1" customWidth="1"/>
    <col min="5650" max="5650" width="13.8515625" style="186" customWidth="1"/>
    <col min="5651" max="5656" width="11.421875" style="186" hidden="1" customWidth="1"/>
    <col min="5657" max="5657" width="41.421875" style="186" customWidth="1"/>
    <col min="5658" max="5658" width="23.00390625" style="186" customWidth="1"/>
    <col min="5659" max="5686" width="11.421875" style="186" hidden="1" customWidth="1"/>
    <col min="5687" max="5865" width="11.421875" style="186" customWidth="1"/>
    <col min="5866" max="5866" width="6.00390625" style="186" customWidth="1"/>
    <col min="5867" max="5867" width="18.140625" style="186" customWidth="1"/>
    <col min="5868" max="5868" width="24.57421875" style="186" customWidth="1"/>
    <col min="5869" max="5869" width="31.00390625" style="186" customWidth="1"/>
    <col min="5870" max="5870" width="12.7109375" style="186" customWidth="1"/>
    <col min="5871" max="5871" width="12.00390625" style="186" customWidth="1"/>
    <col min="5872" max="5872" width="19.8515625" style="186" customWidth="1"/>
    <col min="5873" max="5873" width="17.421875" style="186" customWidth="1"/>
    <col min="5874" max="5874" width="11.421875" style="186" customWidth="1"/>
    <col min="5875" max="5875" width="14.00390625" style="186" customWidth="1"/>
    <col min="5876" max="5876" width="11.57421875" style="186" customWidth="1"/>
    <col min="5877" max="5877" width="10.57421875" style="186" customWidth="1"/>
    <col min="5878" max="5881" width="6.140625" style="186" customWidth="1"/>
    <col min="5882" max="5894" width="11.421875" style="186" hidden="1" customWidth="1"/>
    <col min="5895" max="5897" width="11.421875" style="186" customWidth="1"/>
    <col min="5898" max="5898" width="13.00390625" style="186" customWidth="1"/>
    <col min="5899" max="5901" width="11.421875" style="186" hidden="1" customWidth="1"/>
    <col min="5902" max="5902" width="42.57421875" style="186" customWidth="1"/>
    <col min="5903" max="5903" width="11.421875" style="186" hidden="1" customWidth="1"/>
    <col min="5904" max="5904" width="14.28125" style="186" customWidth="1"/>
    <col min="5905" max="5905" width="11.421875" style="186" hidden="1" customWidth="1"/>
    <col min="5906" max="5906" width="13.8515625" style="186" customWidth="1"/>
    <col min="5907" max="5912" width="11.421875" style="186" hidden="1" customWidth="1"/>
    <col min="5913" max="5913" width="41.421875" style="186" customWidth="1"/>
    <col min="5914" max="5914" width="23.00390625" style="186" customWidth="1"/>
    <col min="5915" max="5942" width="11.421875" style="186" hidden="1" customWidth="1"/>
    <col min="5943" max="6121" width="11.421875" style="186" customWidth="1"/>
    <col min="6122" max="6122" width="6.00390625" style="186" customWidth="1"/>
    <col min="6123" max="6123" width="18.140625" style="186" customWidth="1"/>
    <col min="6124" max="6124" width="24.57421875" style="186" customWidth="1"/>
    <col min="6125" max="6125" width="31.00390625" style="186" customWidth="1"/>
    <col min="6126" max="6126" width="12.7109375" style="186" customWidth="1"/>
    <col min="6127" max="6127" width="12.00390625" style="186" customWidth="1"/>
    <col min="6128" max="6128" width="19.8515625" style="186" customWidth="1"/>
    <col min="6129" max="6129" width="17.421875" style="186" customWidth="1"/>
    <col min="6130" max="6130" width="11.421875" style="186" customWidth="1"/>
    <col min="6131" max="6131" width="14.00390625" style="186" customWidth="1"/>
    <col min="6132" max="6132" width="11.57421875" style="186" customWidth="1"/>
    <col min="6133" max="6133" width="10.57421875" style="186" customWidth="1"/>
    <col min="6134" max="6137" width="6.140625" style="186" customWidth="1"/>
    <col min="6138" max="6150" width="11.421875" style="186" hidden="1" customWidth="1"/>
    <col min="6151" max="6153" width="11.421875" style="186" customWidth="1"/>
    <col min="6154" max="6154" width="13.00390625" style="186" customWidth="1"/>
    <col min="6155" max="6157" width="11.421875" style="186" hidden="1" customWidth="1"/>
    <col min="6158" max="6158" width="42.57421875" style="186" customWidth="1"/>
    <col min="6159" max="6159" width="11.421875" style="186" hidden="1" customWidth="1"/>
    <col min="6160" max="6160" width="14.28125" style="186" customWidth="1"/>
    <col min="6161" max="6161" width="11.421875" style="186" hidden="1" customWidth="1"/>
    <col min="6162" max="6162" width="13.8515625" style="186" customWidth="1"/>
    <col min="6163" max="6168" width="11.421875" style="186" hidden="1" customWidth="1"/>
    <col min="6169" max="6169" width="41.421875" style="186" customWidth="1"/>
    <col min="6170" max="6170" width="23.00390625" style="186" customWidth="1"/>
    <col min="6171" max="6198" width="11.421875" style="186" hidden="1" customWidth="1"/>
    <col min="6199" max="6377" width="11.421875" style="186" customWidth="1"/>
    <col min="6378" max="6378" width="6.00390625" style="186" customWidth="1"/>
    <col min="6379" max="6379" width="18.140625" style="186" customWidth="1"/>
    <col min="6380" max="6380" width="24.57421875" style="186" customWidth="1"/>
    <col min="6381" max="6381" width="31.00390625" style="186" customWidth="1"/>
    <col min="6382" max="6382" width="12.7109375" style="186" customWidth="1"/>
    <col min="6383" max="6383" width="12.00390625" style="186" customWidth="1"/>
    <col min="6384" max="6384" width="19.8515625" style="186" customWidth="1"/>
    <col min="6385" max="6385" width="17.421875" style="186" customWidth="1"/>
    <col min="6386" max="6386" width="11.421875" style="186" customWidth="1"/>
    <col min="6387" max="6387" width="14.00390625" style="186" customWidth="1"/>
    <col min="6388" max="6388" width="11.57421875" style="186" customWidth="1"/>
    <col min="6389" max="6389" width="10.57421875" style="186" customWidth="1"/>
    <col min="6390" max="6393" width="6.140625" style="186" customWidth="1"/>
    <col min="6394" max="6406" width="11.421875" style="186" hidden="1" customWidth="1"/>
    <col min="6407" max="6409" width="11.421875" style="186" customWidth="1"/>
    <col min="6410" max="6410" width="13.00390625" style="186" customWidth="1"/>
    <col min="6411" max="6413" width="11.421875" style="186" hidden="1" customWidth="1"/>
    <col min="6414" max="6414" width="42.57421875" style="186" customWidth="1"/>
    <col min="6415" max="6415" width="11.421875" style="186" hidden="1" customWidth="1"/>
    <col min="6416" max="6416" width="14.28125" style="186" customWidth="1"/>
    <col min="6417" max="6417" width="11.421875" style="186" hidden="1" customWidth="1"/>
    <col min="6418" max="6418" width="13.8515625" style="186" customWidth="1"/>
    <col min="6419" max="6424" width="11.421875" style="186" hidden="1" customWidth="1"/>
    <col min="6425" max="6425" width="41.421875" style="186" customWidth="1"/>
    <col min="6426" max="6426" width="23.00390625" style="186" customWidth="1"/>
    <col min="6427" max="6454" width="11.421875" style="186" hidden="1" customWidth="1"/>
    <col min="6455" max="6633" width="11.421875" style="186" customWidth="1"/>
    <col min="6634" max="6634" width="6.00390625" style="186" customWidth="1"/>
    <col min="6635" max="6635" width="18.140625" style="186" customWidth="1"/>
    <col min="6636" max="6636" width="24.57421875" style="186" customWidth="1"/>
    <col min="6637" max="6637" width="31.00390625" style="186" customWidth="1"/>
    <col min="6638" max="6638" width="12.7109375" style="186" customWidth="1"/>
    <col min="6639" max="6639" width="12.00390625" style="186" customWidth="1"/>
    <col min="6640" max="6640" width="19.8515625" style="186" customWidth="1"/>
    <col min="6641" max="6641" width="17.421875" style="186" customWidth="1"/>
    <col min="6642" max="6642" width="11.421875" style="186" customWidth="1"/>
    <col min="6643" max="6643" width="14.00390625" style="186" customWidth="1"/>
    <col min="6644" max="6644" width="11.57421875" style="186" customWidth="1"/>
    <col min="6645" max="6645" width="10.57421875" style="186" customWidth="1"/>
    <col min="6646" max="6649" width="6.140625" style="186" customWidth="1"/>
    <col min="6650" max="6662" width="11.421875" style="186" hidden="1" customWidth="1"/>
    <col min="6663" max="6665" width="11.421875" style="186" customWidth="1"/>
    <col min="6666" max="6666" width="13.00390625" style="186" customWidth="1"/>
    <col min="6667" max="6669" width="11.421875" style="186" hidden="1" customWidth="1"/>
    <col min="6670" max="6670" width="42.57421875" style="186" customWidth="1"/>
    <col min="6671" max="6671" width="11.421875" style="186" hidden="1" customWidth="1"/>
    <col min="6672" max="6672" width="14.28125" style="186" customWidth="1"/>
    <col min="6673" max="6673" width="11.421875" style="186" hidden="1" customWidth="1"/>
    <col min="6674" max="6674" width="13.8515625" style="186" customWidth="1"/>
    <col min="6675" max="6680" width="11.421875" style="186" hidden="1" customWidth="1"/>
    <col min="6681" max="6681" width="41.421875" style="186" customWidth="1"/>
    <col min="6682" max="6682" width="23.00390625" style="186" customWidth="1"/>
    <col min="6683" max="6710" width="11.421875" style="186" hidden="1" customWidth="1"/>
    <col min="6711" max="6889" width="11.421875" style="186" customWidth="1"/>
    <col min="6890" max="6890" width="6.00390625" style="186" customWidth="1"/>
    <col min="6891" max="6891" width="18.140625" style="186" customWidth="1"/>
    <col min="6892" max="6892" width="24.57421875" style="186" customWidth="1"/>
    <col min="6893" max="6893" width="31.00390625" style="186" customWidth="1"/>
    <col min="6894" max="6894" width="12.7109375" style="186" customWidth="1"/>
    <col min="6895" max="6895" width="12.00390625" style="186" customWidth="1"/>
    <col min="6896" max="6896" width="19.8515625" style="186" customWidth="1"/>
    <col min="6897" max="6897" width="17.421875" style="186" customWidth="1"/>
    <col min="6898" max="6898" width="11.421875" style="186" customWidth="1"/>
    <col min="6899" max="6899" width="14.00390625" style="186" customWidth="1"/>
    <col min="6900" max="6900" width="11.57421875" style="186" customWidth="1"/>
    <col min="6901" max="6901" width="10.57421875" style="186" customWidth="1"/>
    <col min="6902" max="6905" width="6.140625" style="186" customWidth="1"/>
    <col min="6906" max="6918" width="11.421875" style="186" hidden="1" customWidth="1"/>
    <col min="6919" max="6921" width="11.421875" style="186" customWidth="1"/>
    <col min="6922" max="6922" width="13.00390625" style="186" customWidth="1"/>
    <col min="6923" max="6925" width="11.421875" style="186" hidden="1" customWidth="1"/>
    <col min="6926" max="6926" width="42.57421875" style="186" customWidth="1"/>
    <col min="6927" max="6927" width="11.421875" style="186" hidden="1" customWidth="1"/>
    <col min="6928" max="6928" width="14.28125" style="186" customWidth="1"/>
    <col min="6929" max="6929" width="11.421875" style="186" hidden="1" customWidth="1"/>
    <col min="6930" max="6930" width="13.8515625" style="186" customWidth="1"/>
    <col min="6931" max="6936" width="11.421875" style="186" hidden="1" customWidth="1"/>
    <col min="6937" max="6937" width="41.421875" style="186" customWidth="1"/>
    <col min="6938" max="6938" width="23.00390625" style="186" customWidth="1"/>
    <col min="6939" max="6966" width="11.421875" style="186" hidden="1" customWidth="1"/>
    <col min="6967" max="7145" width="11.421875" style="186" customWidth="1"/>
    <col min="7146" max="7146" width="6.00390625" style="186" customWidth="1"/>
    <col min="7147" max="7147" width="18.140625" style="186" customWidth="1"/>
    <col min="7148" max="7148" width="24.57421875" style="186" customWidth="1"/>
    <col min="7149" max="7149" width="31.00390625" style="186" customWidth="1"/>
    <col min="7150" max="7150" width="12.7109375" style="186" customWidth="1"/>
    <col min="7151" max="7151" width="12.00390625" style="186" customWidth="1"/>
    <col min="7152" max="7152" width="19.8515625" style="186" customWidth="1"/>
    <col min="7153" max="7153" width="17.421875" style="186" customWidth="1"/>
    <col min="7154" max="7154" width="11.421875" style="186" customWidth="1"/>
    <col min="7155" max="7155" width="14.00390625" style="186" customWidth="1"/>
    <col min="7156" max="7156" width="11.57421875" style="186" customWidth="1"/>
    <col min="7157" max="7157" width="10.57421875" style="186" customWidth="1"/>
    <col min="7158" max="7161" width="6.140625" style="186" customWidth="1"/>
    <col min="7162" max="7174" width="11.421875" style="186" hidden="1" customWidth="1"/>
    <col min="7175" max="7177" width="11.421875" style="186" customWidth="1"/>
    <col min="7178" max="7178" width="13.00390625" style="186" customWidth="1"/>
    <col min="7179" max="7181" width="11.421875" style="186" hidden="1" customWidth="1"/>
    <col min="7182" max="7182" width="42.57421875" style="186" customWidth="1"/>
    <col min="7183" max="7183" width="11.421875" style="186" hidden="1" customWidth="1"/>
    <col min="7184" max="7184" width="14.28125" style="186" customWidth="1"/>
    <col min="7185" max="7185" width="11.421875" style="186" hidden="1" customWidth="1"/>
    <col min="7186" max="7186" width="13.8515625" style="186" customWidth="1"/>
    <col min="7187" max="7192" width="11.421875" style="186" hidden="1" customWidth="1"/>
    <col min="7193" max="7193" width="41.421875" style="186" customWidth="1"/>
    <col min="7194" max="7194" width="23.00390625" style="186" customWidth="1"/>
    <col min="7195" max="7222" width="11.421875" style="186" hidden="1" customWidth="1"/>
    <col min="7223" max="7401" width="11.421875" style="186" customWidth="1"/>
    <col min="7402" max="7402" width="6.00390625" style="186" customWidth="1"/>
    <col min="7403" max="7403" width="18.140625" style="186" customWidth="1"/>
    <col min="7404" max="7404" width="24.57421875" style="186" customWidth="1"/>
    <col min="7405" max="7405" width="31.00390625" style="186" customWidth="1"/>
    <col min="7406" max="7406" width="12.7109375" style="186" customWidth="1"/>
    <col min="7407" max="7407" width="12.00390625" style="186" customWidth="1"/>
    <col min="7408" max="7408" width="19.8515625" style="186" customWidth="1"/>
    <col min="7409" max="7409" width="17.421875" style="186" customWidth="1"/>
    <col min="7410" max="7410" width="11.421875" style="186" customWidth="1"/>
    <col min="7411" max="7411" width="14.00390625" style="186" customWidth="1"/>
    <col min="7412" max="7412" width="11.57421875" style="186" customWidth="1"/>
    <col min="7413" max="7413" width="10.57421875" style="186" customWidth="1"/>
    <col min="7414" max="7417" width="6.140625" style="186" customWidth="1"/>
    <col min="7418" max="7430" width="11.421875" style="186" hidden="1" customWidth="1"/>
    <col min="7431" max="7433" width="11.421875" style="186" customWidth="1"/>
    <col min="7434" max="7434" width="13.00390625" style="186" customWidth="1"/>
    <col min="7435" max="7437" width="11.421875" style="186" hidden="1" customWidth="1"/>
    <col min="7438" max="7438" width="42.57421875" style="186" customWidth="1"/>
    <col min="7439" max="7439" width="11.421875" style="186" hidden="1" customWidth="1"/>
    <col min="7440" max="7440" width="14.28125" style="186" customWidth="1"/>
    <col min="7441" max="7441" width="11.421875" style="186" hidden="1" customWidth="1"/>
    <col min="7442" max="7442" width="13.8515625" style="186" customWidth="1"/>
    <col min="7443" max="7448" width="11.421875" style="186" hidden="1" customWidth="1"/>
    <col min="7449" max="7449" width="41.421875" style="186" customWidth="1"/>
    <col min="7450" max="7450" width="23.00390625" style="186" customWidth="1"/>
    <col min="7451" max="7478" width="11.421875" style="186" hidden="1" customWidth="1"/>
    <col min="7479" max="7657" width="11.421875" style="186" customWidth="1"/>
    <col min="7658" max="7658" width="6.00390625" style="186" customWidth="1"/>
    <col min="7659" max="7659" width="18.140625" style="186" customWidth="1"/>
    <col min="7660" max="7660" width="24.57421875" style="186" customWidth="1"/>
    <col min="7661" max="7661" width="31.00390625" style="186" customWidth="1"/>
    <col min="7662" max="7662" width="12.7109375" style="186" customWidth="1"/>
    <col min="7663" max="7663" width="12.00390625" style="186" customWidth="1"/>
    <col min="7664" max="7664" width="19.8515625" style="186" customWidth="1"/>
    <col min="7665" max="7665" width="17.421875" style="186" customWidth="1"/>
    <col min="7666" max="7666" width="11.421875" style="186" customWidth="1"/>
    <col min="7667" max="7667" width="14.00390625" style="186" customWidth="1"/>
    <col min="7668" max="7668" width="11.57421875" style="186" customWidth="1"/>
    <col min="7669" max="7669" width="10.57421875" style="186" customWidth="1"/>
    <col min="7670" max="7673" width="6.140625" style="186" customWidth="1"/>
    <col min="7674" max="7686" width="11.421875" style="186" hidden="1" customWidth="1"/>
    <col min="7687" max="7689" width="11.421875" style="186" customWidth="1"/>
    <col min="7690" max="7690" width="13.00390625" style="186" customWidth="1"/>
    <col min="7691" max="7693" width="11.421875" style="186" hidden="1" customWidth="1"/>
    <col min="7694" max="7694" width="42.57421875" style="186" customWidth="1"/>
    <col min="7695" max="7695" width="11.421875" style="186" hidden="1" customWidth="1"/>
    <col min="7696" max="7696" width="14.28125" style="186" customWidth="1"/>
    <col min="7697" max="7697" width="11.421875" style="186" hidden="1" customWidth="1"/>
    <col min="7698" max="7698" width="13.8515625" style="186" customWidth="1"/>
    <col min="7699" max="7704" width="11.421875" style="186" hidden="1" customWidth="1"/>
    <col min="7705" max="7705" width="41.421875" style="186" customWidth="1"/>
    <col min="7706" max="7706" width="23.00390625" style="186" customWidth="1"/>
    <col min="7707" max="7734" width="11.421875" style="186" hidden="1" customWidth="1"/>
    <col min="7735" max="7913" width="11.421875" style="186" customWidth="1"/>
    <col min="7914" max="7914" width="6.00390625" style="186" customWidth="1"/>
    <col min="7915" max="7915" width="18.140625" style="186" customWidth="1"/>
    <col min="7916" max="7916" width="24.57421875" style="186" customWidth="1"/>
    <col min="7917" max="7917" width="31.00390625" style="186" customWidth="1"/>
    <col min="7918" max="7918" width="12.7109375" style="186" customWidth="1"/>
    <col min="7919" max="7919" width="12.00390625" style="186" customWidth="1"/>
    <col min="7920" max="7920" width="19.8515625" style="186" customWidth="1"/>
    <col min="7921" max="7921" width="17.421875" style="186" customWidth="1"/>
    <col min="7922" max="7922" width="11.421875" style="186" customWidth="1"/>
    <col min="7923" max="7923" width="14.00390625" style="186" customWidth="1"/>
    <col min="7924" max="7924" width="11.57421875" style="186" customWidth="1"/>
    <col min="7925" max="7925" width="10.57421875" style="186" customWidth="1"/>
    <col min="7926" max="7929" width="6.140625" style="186" customWidth="1"/>
    <col min="7930" max="7942" width="11.421875" style="186" hidden="1" customWidth="1"/>
    <col min="7943" max="7945" width="11.421875" style="186" customWidth="1"/>
    <col min="7946" max="7946" width="13.00390625" style="186" customWidth="1"/>
    <col min="7947" max="7949" width="11.421875" style="186" hidden="1" customWidth="1"/>
    <col min="7950" max="7950" width="42.57421875" style="186" customWidth="1"/>
    <col min="7951" max="7951" width="11.421875" style="186" hidden="1" customWidth="1"/>
    <col min="7952" max="7952" width="14.28125" style="186" customWidth="1"/>
    <col min="7953" max="7953" width="11.421875" style="186" hidden="1" customWidth="1"/>
    <col min="7954" max="7954" width="13.8515625" style="186" customWidth="1"/>
    <col min="7955" max="7960" width="11.421875" style="186" hidden="1" customWidth="1"/>
    <col min="7961" max="7961" width="41.421875" style="186" customWidth="1"/>
    <col min="7962" max="7962" width="23.00390625" style="186" customWidth="1"/>
    <col min="7963" max="7990" width="11.421875" style="186" hidden="1" customWidth="1"/>
    <col min="7991" max="8169" width="11.421875" style="186" customWidth="1"/>
    <col min="8170" max="8170" width="6.00390625" style="186" customWidth="1"/>
    <col min="8171" max="8171" width="18.140625" style="186" customWidth="1"/>
    <col min="8172" max="8172" width="24.57421875" style="186" customWidth="1"/>
    <col min="8173" max="8173" width="31.00390625" style="186" customWidth="1"/>
    <col min="8174" max="8174" width="12.7109375" style="186" customWidth="1"/>
    <col min="8175" max="8175" width="12.00390625" style="186" customWidth="1"/>
    <col min="8176" max="8176" width="19.8515625" style="186" customWidth="1"/>
    <col min="8177" max="8177" width="17.421875" style="186" customWidth="1"/>
    <col min="8178" max="8178" width="11.421875" style="186" customWidth="1"/>
    <col min="8179" max="8179" width="14.00390625" style="186" customWidth="1"/>
    <col min="8180" max="8180" width="11.57421875" style="186" customWidth="1"/>
    <col min="8181" max="8181" width="10.57421875" style="186" customWidth="1"/>
    <col min="8182" max="8185" width="6.140625" style="186" customWidth="1"/>
    <col min="8186" max="8198" width="11.421875" style="186" hidden="1" customWidth="1"/>
    <col min="8199" max="8201" width="11.421875" style="186" customWidth="1"/>
    <col min="8202" max="8202" width="13.00390625" style="186" customWidth="1"/>
    <col min="8203" max="8205" width="11.421875" style="186" hidden="1" customWidth="1"/>
    <col min="8206" max="8206" width="42.57421875" style="186" customWidth="1"/>
    <col min="8207" max="8207" width="11.421875" style="186" hidden="1" customWidth="1"/>
    <col min="8208" max="8208" width="14.28125" style="186" customWidth="1"/>
    <col min="8209" max="8209" width="11.421875" style="186" hidden="1" customWidth="1"/>
    <col min="8210" max="8210" width="13.8515625" style="186" customWidth="1"/>
    <col min="8211" max="8216" width="11.421875" style="186" hidden="1" customWidth="1"/>
    <col min="8217" max="8217" width="41.421875" style="186" customWidth="1"/>
    <col min="8218" max="8218" width="23.00390625" style="186" customWidth="1"/>
    <col min="8219" max="8246" width="11.421875" style="186" hidden="1" customWidth="1"/>
    <col min="8247" max="8425" width="11.421875" style="186" customWidth="1"/>
    <col min="8426" max="8426" width="6.00390625" style="186" customWidth="1"/>
    <col min="8427" max="8427" width="18.140625" style="186" customWidth="1"/>
    <col min="8428" max="8428" width="24.57421875" style="186" customWidth="1"/>
    <col min="8429" max="8429" width="31.00390625" style="186" customWidth="1"/>
    <col min="8430" max="8430" width="12.7109375" style="186" customWidth="1"/>
    <col min="8431" max="8431" width="12.00390625" style="186" customWidth="1"/>
    <col min="8432" max="8432" width="19.8515625" style="186" customWidth="1"/>
    <col min="8433" max="8433" width="17.421875" style="186" customWidth="1"/>
    <col min="8434" max="8434" width="11.421875" style="186" customWidth="1"/>
    <col min="8435" max="8435" width="14.00390625" style="186" customWidth="1"/>
    <col min="8436" max="8436" width="11.57421875" style="186" customWidth="1"/>
    <col min="8437" max="8437" width="10.57421875" style="186" customWidth="1"/>
    <col min="8438" max="8441" width="6.140625" style="186" customWidth="1"/>
    <col min="8442" max="8454" width="11.421875" style="186" hidden="1" customWidth="1"/>
    <col min="8455" max="8457" width="11.421875" style="186" customWidth="1"/>
    <col min="8458" max="8458" width="13.00390625" style="186" customWidth="1"/>
    <col min="8459" max="8461" width="11.421875" style="186" hidden="1" customWidth="1"/>
    <col min="8462" max="8462" width="42.57421875" style="186" customWidth="1"/>
    <col min="8463" max="8463" width="11.421875" style="186" hidden="1" customWidth="1"/>
    <col min="8464" max="8464" width="14.28125" style="186" customWidth="1"/>
    <col min="8465" max="8465" width="11.421875" style="186" hidden="1" customWidth="1"/>
    <col min="8466" max="8466" width="13.8515625" style="186" customWidth="1"/>
    <col min="8467" max="8472" width="11.421875" style="186" hidden="1" customWidth="1"/>
    <col min="8473" max="8473" width="41.421875" style="186" customWidth="1"/>
    <col min="8474" max="8474" width="23.00390625" style="186" customWidth="1"/>
    <col min="8475" max="8502" width="11.421875" style="186" hidden="1" customWidth="1"/>
    <col min="8503" max="8681" width="11.421875" style="186" customWidth="1"/>
    <col min="8682" max="8682" width="6.00390625" style="186" customWidth="1"/>
    <col min="8683" max="8683" width="18.140625" style="186" customWidth="1"/>
    <col min="8684" max="8684" width="24.57421875" style="186" customWidth="1"/>
    <col min="8685" max="8685" width="31.00390625" style="186" customWidth="1"/>
    <col min="8686" max="8686" width="12.7109375" style="186" customWidth="1"/>
    <col min="8687" max="8687" width="12.00390625" style="186" customWidth="1"/>
    <col min="8688" max="8688" width="19.8515625" style="186" customWidth="1"/>
    <col min="8689" max="8689" width="17.421875" style="186" customWidth="1"/>
    <col min="8690" max="8690" width="11.421875" style="186" customWidth="1"/>
    <col min="8691" max="8691" width="14.00390625" style="186" customWidth="1"/>
    <col min="8692" max="8692" width="11.57421875" style="186" customWidth="1"/>
    <col min="8693" max="8693" width="10.57421875" style="186" customWidth="1"/>
    <col min="8694" max="8697" width="6.140625" style="186" customWidth="1"/>
    <col min="8698" max="8710" width="11.421875" style="186" hidden="1" customWidth="1"/>
    <col min="8711" max="8713" width="11.421875" style="186" customWidth="1"/>
    <col min="8714" max="8714" width="13.00390625" style="186" customWidth="1"/>
    <col min="8715" max="8717" width="11.421875" style="186" hidden="1" customWidth="1"/>
    <col min="8718" max="8718" width="42.57421875" style="186" customWidth="1"/>
    <col min="8719" max="8719" width="11.421875" style="186" hidden="1" customWidth="1"/>
    <col min="8720" max="8720" width="14.28125" style="186" customWidth="1"/>
    <col min="8721" max="8721" width="11.421875" style="186" hidden="1" customWidth="1"/>
    <col min="8722" max="8722" width="13.8515625" style="186" customWidth="1"/>
    <col min="8723" max="8728" width="11.421875" style="186" hidden="1" customWidth="1"/>
    <col min="8729" max="8729" width="41.421875" style="186" customWidth="1"/>
    <col min="8730" max="8730" width="23.00390625" style="186" customWidth="1"/>
    <col min="8731" max="8758" width="11.421875" style="186" hidden="1" customWidth="1"/>
    <col min="8759" max="8937" width="11.421875" style="186" customWidth="1"/>
    <col min="8938" max="8938" width="6.00390625" style="186" customWidth="1"/>
    <col min="8939" max="8939" width="18.140625" style="186" customWidth="1"/>
    <col min="8940" max="8940" width="24.57421875" style="186" customWidth="1"/>
    <col min="8941" max="8941" width="31.00390625" style="186" customWidth="1"/>
    <col min="8942" max="8942" width="12.7109375" style="186" customWidth="1"/>
    <col min="8943" max="8943" width="12.00390625" style="186" customWidth="1"/>
    <col min="8944" max="8944" width="19.8515625" style="186" customWidth="1"/>
    <col min="8945" max="8945" width="17.421875" style="186" customWidth="1"/>
    <col min="8946" max="8946" width="11.421875" style="186" customWidth="1"/>
    <col min="8947" max="8947" width="14.00390625" style="186" customWidth="1"/>
    <col min="8948" max="8948" width="11.57421875" style="186" customWidth="1"/>
    <col min="8949" max="8949" width="10.57421875" style="186" customWidth="1"/>
    <col min="8950" max="8953" width="6.140625" style="186" customWidth="1"/>
    <col min="8954" max="8966" width="11.421875" style="186" hidden="1" customWidth="1"/>
    <col min="8967" max="8969" width="11.421875" style="186" customWidth="1"/>
    <col min="8970" max="8970" width="13.00390625" style="186" customWidth="1"/>
    <col min="8971" max="8973" width="11.421875" style="186" hidden="1" customWidth="1"/>
    <col min="8974" max="8974" width="42.57421875" style="186" customWidth="1"/>
    <col min="8975" max="8975" width="11.421875" style="186" hidden="1" customWidth="1"/>
    <col min="8976" max="8976" width="14.28125" style="186" customWidth="1"/>
    <col min="8977" max="8977" width="11.421875" style="186" hidden="1" customWidth="1"/>
    <col min="8978" max="8978" width="13.8515625" style="186" customWidth="1"/>
    <col min="8979" max="8984" width="11.421875" style="186" hidden="1" customWidth="1"/>
    <col min="8985" max="8985" width="41.421875" style="186" customWidth="1"/>
    <col min="8986" max="8986" width="23.00390625" style="186" customWidth="1"/>
    <col min="8987" max="9014" width="11.421875" style="186" hidden="1" customWidth="1"/>
    <col min="9015" max="9193" width="11.421875" style="186" customWidth="1"/>
    <col min="9194" max="9194" width="6.00390625" style="186" customWidth="1"/>
    <col min="9195" max="9195" width="18.140625" style="186" customWidth="1"/>
    <col min="9196" max="9196" width="24.57421875" style="186" customWidth="1"/>
    <col min="9197" max="9197" width="31.00390625" style="186" customWidth="1"/>
    <col min="9198" max="9198" width="12.7109375" style="186" customWidth="1"/>
    <col min="9199" max="9199" width="12.00390625" style="186" customWidth="1"/>
    <col min="9200" max="9200" width="19.8515625" style="186" customWidth="1"/>
    <col min="9201" max="9201" width="17.421875" style="186" customWidth="1"/>
    <col min="9202" max="9202" width="11.421875" style="186" customWidth="1"/>
    <col min="9203" max="9203" width="14.00390625" style="186" customWidth="1"/>
    <col min="9204" max="9204" width="11.57421875" style="186" customWidth="1"/>
    <col min="9205" max="9205" width="10.57421875" style="186" customWidth="1"/>
    <col min="9206" max="9209" width="6.140625" style="186" customWidth="1"/>
    <col min="9210" max="9222" width="11.421875" style="186" hidden="1" customWidth="1"/>
    <col min="9223" max="9225" width="11.421875" style="186" customWidth="1"/>
    <col min="9226" max="9226" width="13.00390625" style="186" customWidth="1"/>
    <col min="9227" max="9229" width="11.421875" style="186" hidden="1" customWidth="1"/>
    <col min="9230" max="9230" width="42.57421875" style="186" customWidth="1"/>
    <col min="9231" max="9231" width="11.421875" style="186" hidden="1" customWidth="1"/>
    <col min="9232" max="9232" width="14.28125" style="186" customWidth="1"/>
    <col min="9233" max="9233" width="11.421875" style="186" hidden="1" customWidth="1"/>
    <col min="9234" max="9234" width="13.8515625" style="186" customWidth="1"/>
    <col min="9235" max="9240" width="11.421875" style="186" hidden="1" customWidth="1"/>
    <col min="9241" max="9241" width="41.421875" style="186" customWidth="1"/>
    <col min="9242" max="9242" width="23.00390625" style="186" customWidth="1"/>
    <col min="9243" max="9270" width="11.421875" style="186" hidden="1" customWidth="1"/>
    <col min="9271" max="9449" width="11.421875" style="186" customWidth="1"/>
    <col min="9450" max="9450" width="6.00390625" style="186" customWidth="1"/>
    <col min="9451" max="9451" width="18.140625" style="186" customWidth="1"/>
    <col min="9452" max="9452" width="24.57421875" style="186" customWidth="1"/>
    <col min="9453" max="9453" width="31.00390625" style="186" customWidth="1"/>
    <col min="9454" max="9454" width="12.7109375" style="186" customWidth="1"/>
    <col min="9455" max="9455" width="12.00390625" style="186" customWidth="1"/>
    <col min="9456" max="9456" width="19.8515625" style="186" customWidth="1"/>
    <col min="9457" max="9457" width="17.421875" style="186" customWidth="1"/>
    <col min="9458" max="9458" width="11.421875" style="186" customWidth="1"/>
    <col min="9459" max="9459" width="14.00390625" style="186" customWidth="1"/>
    <col min="9460" max="9460" width="11.57421875" style="186" customWidth="1"/>
    <col min="9461" max="9461" width="10.57421875" style="186" customWidth="1"/>
    <col min="9462" max="9465" width="6.140625" style="186" customWidth="1"/>
    <col min="9466" max="9478" width="11.421875" style="186" hidden="1" customWidth="1"/>
    <col min="9479" max="9481" width="11.421875" style="186" customWidth="1"/>
    <col min="9482" max="9482" width="13.00390625" style="186" customWidth="1"/>
    <col min="9483" max="9485" width="11.421875" style="186" hidden="1" customWidth="1"/>
    <col min="9486" max="9486" width="42.57421875" style="186" customWidth="1"/>
    <col min="9487" max="9487" width="11.421875" style="186" hidden="1" customWidth="1"/>
    <col min="9488" max="9488" width="14.28125" style="186" customWidth="1"/>
    <col min="9489" max="9489" width="11.421875" style="186" hidden="1" customWidth="1"/>
    <col min="9490" max="9490" width="13.8515625" style="186" customWidth="1"/>
    <col min="9491" max="9496" width="11.421875" style="186" hidden="1" customWidth="1"/>
    <col min="9497" max="9497" width="41.421875" style="186" customWidth="1"/>
    <col min="9498" max="9498" width="23.00390625" style="186" customWidth="1"/>
    <col min="9499" max="9526" width="11.421875" style="186" hidden="1" customWidth="1"/>
    <col min="9527" max="9705" width="11.421875" style="186" customWidth="1"/>
    <col min="9706" max="9706" width="6.00390625" style="186" customWidth="1"/>
    <col min="9707" max="9707" width="18.140625" style="186" customWidth="1"/>
    <col min="9708" max="9708" width="24.57421875" style="186" customWidth="1"/>
    <col min="9709" max="9709" width="31.00390625" style="186" customWidth="1"/>
    <col min="9710" max="9710" width="12.7109375" style="186" customWidth="1"/>
    <col min="9711" max="9711" width="12.00390625" style="186" customWidth="1"/>
    <col min="9712" max="9712" width="19.8515625" style="186" customWidth="1"/>
    <col min="9713" max="9713" width="17.421875" style="186" customWidth="1"/>
    <col min="9714" max="9714" width="11.421875" style="186" customWidth="1"/>
    <col min="9715" max="9715" width="14.00390625" style="186" customWidth="1"/>
    <col min="9716" max="9716" width="11.57421875" style="186" customWidth="1"/>
    <col min="9717" max="9717" width="10.57421875" style="186" customWidth="1"/>
    <col min="9718" max="9721" width="6.140625" style="186" customWidth="1"/>
    <col min="9722" max="9734" width="11.421875" style="186" hidden="1" customWidth="1"/>
    <col min="9735" max="9737" width="11.421875" style="186" customWidth="1"/>
    <col min="9738" max="9738" width="13.00390625" style="186" customWidth="1"/>
    <col min="9739" max="9741" width="11.421875" style="186" hidden="1" customWidth="1"/>
    <col min="9742" max="9742" width="42.57421875" style="186" customWidth="1"/>
    <col min="9743" max="9743" width="11.421875" style="186" hidden="1" customWidth="1"/>
    <col min="9744" max="9744" width="14.28125" style="186" customWidth="1"/>
    <col min="9745" max="9745" width="11.421875" style="186" hidden="1" customWidth="1"/>
    <col min="9746" max="9746" width="13.8515625" style="186" customWidth="1"/>
    <col min="9747" max="9752" width="11.421875" style="186" hidden="1" customWidth="1"/>
    <col min="9753" max="9753" width="41.421875" style="186" customWidth="1"/>
    <col min="9754" max="9754" width="23.00390625" style="186" customWidth="1"/>
    <col min="9755" max="9782" width="11.421875" style="186" hidden="1" customWidth="1"/>
    <col min="9783" max="9961" width="11.421875" style="186" customWidth="1"/>
    <col min="9962" max="9962" width="6.00390625" style="186" customWidth="1"/>
    <col min="9963" max="9963" width="18.140625" style="186" customWidth="1"/>
    <col min="9964" max="9964" width="24.57421875" style="186" customWidth="1"/>
    <col min="9965" max="9965" width="31.00390625" style="186" customWidth="1"/>
    <col min="9966" max="9966" width="12.7109375" style="186" customWidth="1"/>
    <col min="9967" max="9967" width="12.00390625" style="186" customWidth="1"/>
    <col min="9968" max="9968" width="19.8515625" style="186" customWidth="1"/>
    <col min="9969" max="9969" width="17.421875" style="186" customWidth="1"/>
    <col min="9970" max="9970" width="11.421875" style="186" customWidth="1"/>
    <col min="9971" max="9971" width="14.00390625" style="186" customWidth="1"/>
    <col min="9972" max="9972" width="11.57421875" style="186" customWidth="1"/>
    <col min="9973" max="9973" width="10.57421875" style="186" customWidth="1"/>
    <col min="9974" max="9977" width="6.140625" style="186" customWidth="1"/>
    <col min="9978" max="9990" width="11.421875" style="186" hidden="1" customWidth="1"/>
    <col min="9991" max="9993" width="11.421875" style="186" customWidth="1"/>
    <col min="9994" max="9994" width="13.00390625" style="186" customWidth="1"/>
    <col min="9995" max="9997" width="11.421875" style="186" hidden="1" customWidth="1"/>
    <col min="9998" max="9998" width="42.57421875" style="186" customWidth="1"/>
    <col min="9999" max="9999" width="11.421875" style="186" hidden="1" customWidth="1"/>
    <col min="10000" max="10000" width="14.28125" style="186" customWidth="1"/>
    <col min="10001" max="10001" width="11.421875" style="186" hidden="1" customWidth="1"/>
    <col min="10002" max="10002" width="13.8515625" style="186" customWidth="1"/>
    <col min="10003" max="10008" width="11.421875" style="186" hidden="1" customWidth="1"/>
    <col min="10009" max="10009" width="41.421875" style="186" customWidth="1"/>
    <col min="10010" max="10010" width="23.00390625" style="186" customWidth="1"/>
    <col min="10011" max="10038" width="11.421875" style="186" hidden="1" customWidth="1"/>
    <col min="10039" max="10217" width="11.421875" style="186" customWidth="1"/>
    <col min="10218" max="10218" width="6.00390625" style="186" customWidth="1"/>
    <col min="10219" max="10219" width="18.140625" style="186" customWidth="1"/>
    <col min="10220" max="10220" width="24.57421875" style="186" customWidth="1"/>
    <col min="10221" max="10221" width="31.00390625" style="186" customWidth="1"/>
    <col min="10222" max="10222" width="12.7109375" style="186" customWidth="1"/>
    <col min="10223" max="10223" width="12.00390625" style="186" customWidth="1"/>
    <col min="10224" max="10224" width="19.8515625" style="186" customWidth="1"/>
    <col min="10225" max="10225" width="17.421875" style="186" customWidth="1"/>
    <col min="10226" max="10226" width="11.421875" style="186" customWidth="1"/>
    <col min="10227" max="10227" width="14.00390625" style="186" customWidth="1"/>
    <col min="10228" max="10228" width="11.57421875" style="186" customWidth="1"/>
    <col min="10229" max="10229" width="10.57421875" style="186" customWidth="1"/>
    <col min="10230" max="10233" width="6.140625" style="186" customWidth="1"/>
    <col min="10234" max="10246" width="11.421875" style="186" hidden="1" customWidth="1"/>
    <col min="10247" max="10249" width="11.421875" style="186" customWidth="1"/>
    <col min="10250" max="10250" width="13.00390625" style="186" customWidth="1"/>
    <col min="10251" max="10253" width="11.421875" style="186" hidden="1" customWidth="1"/>
    <col min="10254" max="10254" width="42.57421875" style="186" customWidth="1"/>
    <col min="10255" max="10255" width="11.421875" style="186" hidden="1" customWidth="1"/>
    <col min="10256" max="10256" width="14.28125" style="186" customWidth="1"/>
    <col min="10257" max="10257" width="11.421875" style="186" hidden="1" customWidth="1"/>
    <col min="10258" max="10258" width="13.8515625" style="186" customWidth="1"/>
    <col min="10259" max="10264" width="11.421875" style="186" hidden="1" customWidth="1"/>
    <col min="10265" max="10265" width="41.421875" style="186" customWidth="1"/>
    <col min="10266" max="10266" width="23.00390625" style="186" customWidth="1"/>
    <col min="10267" max="10294" width="11.421875" style="186" hidden="1" customWidth="1"/>
    <col min="10295" max="10473" width="11.421875" style="186" customWidth="1"/>
    <col min="10474" max="10474" width="6.00390625" style="186" customWidth="1"/>
    <col min="10475" max="10475" width="18.140625" style="186" customWidth="1"/>
    <col min="10476" max="10476" width="24.57421875" style="186" customWidth="1"/>
    <col min="10477" max="10477" width="31.00390625" style="186" customWidth="1"/>
    <col min="10478" max="10478" width="12.7109375" style="186" customWidth="1"/>
    <col min="10479" max="10479" width="12.00390625" style="186" customWidth="1"/>
    <col min="10480" max="10480" width="19.8515625" style="186" customWidth="1"/>
    <col min="10481" max="10481" width="17.421875" style="186" customWidth="1"/>
    <col min="10482" max="10482" width="11.421875" style="186" customWidth="1"/>
    <col min="10483" max="10483" width="14.00390625" style="186" customWidth="1"/>
    <col min="10484" max="10484" width="11.57421875" style="186" customWidth="1"/>
    <col min="10485" max="10485" width="10.57421875" style="186" customWidth="1"/>
    <col min="10486" max="10489" width="6.140625" style="186" customWidth="1"/>
    <col min="10490" max="10502" width="11.421875" style="186" hidden="1" customWidth="1"/>
    <col min="10503" max="10505" width="11.421875" style="186" customWidth="1"/>
    <col min="10506" max="10506" width="13.00390625" style="186" customWidth="1"/>
    <col min="10507" max="10509" width="11.421875" style="186" hidden="1" customWidth="1"/>
    <col min="10510" max="10510" width="42.57421875" style="186" customWidth="1"/>
    <col min="10511" max="10511" width="11.421875" style="186" hidden="1" customWidth="1"/>
    <col min="10512" max="10512" width="14.28125" style="186" customWidth="1"/>
    <col min="10513" max="10513" width="11.421875" style="186" hidden="1" customWidth="1"/>
    <col min="10514" max="10514" width="13.8515625" style="186" customWidth="1"/>
    <col min="10515" max="10520" width="11.421875" style="186" hidden="1" customWidth="1"/>
    <col min="10521" max="10521" width="41.421875" style="186" customWidth="1"/>
    <col min="10522" max="10522" width="23.00390625" style="186" customWidth="1"/>
    <col min="10523" max="10550" width="11.421875" style="186" hidden="1" customWidth="1"/>
    <col min="10551" max="10729" width="11.421875" style="186" customWidth="1"/>
    <col min="10730" max="10730" width="6.00390625" style="186" customWidth="1"/>
    <col min="10731" max="10731" width="18.140625" style="186" customWidth="1"/>
    <col min="10732" max="10732" width="24.57421875" style="186" customWidth="1"/>
    <col min="10733" max="10733" width="31.00390625" style="186" customWidth="1"/>
    <col min="10734" max="10734" width="12.7109375" style="186" customWidth="1"/>
    <col min="10735" max="10735" width="12.00390625" style="186" customWidth="1"/>
    <col min="10736" max="10736" width="19.8515625" style="186" customWidth="1"/>
    <col min="10737" max="10737" width="17.421875" style="186" customWidth="1"/>
    <col min="10738" max="10738" width="11.421875" style="186" customWidth="1"/>
    <col min="10739" max="10739" width="14.00390625" style="186" customWidth="1"/>
    <col min="10740" max="10740" width="11.57421875" style="186" customWidth="1"/>
    <col min="10741" max="10741" width="10.57421875" style="186" customWidth="1"/>
    <col min="10742" max="10745" width="6.140625" style="186" customWidth="1"/>
    <col min="10746" max="10758" width="11.421875" style="186" hidden="1" customWidth="1"/>
    <col min="10759" max="10761" width="11.421875" style="186" customWidth="1"/>
    <col min="10762" max="10762" width="13.00390625" style="186" customWidth="1"/>
    <col min="10763" max="10765" width="11.421875" style="186" hidden="1" customWidth="1"/>
    <col min="10766" max="10766" width="42.57421875" style="186" customWidth="1"/>
    <col min="10767" max="10767" width="11.421875" style="186" hidden="1" customWidth="1"/>
    <col min="10768" max="10768" width="14.28125" style="186" customWidth="1"/>
    <col min="10769" max="10769" width="11.421875" style="186" hidden="1" customWidth="1"/>
    <col min="10770" max="10770" width="13.8515625" style="186" customWidth="1"/>
    <col min="10771" max="10776" width="11.421875" style="186" hidden="1" customWidth="1"/>
    <col min="10777" max="10777" width="41.421875" style="186" customWidth="1"/>
    <col min="10778" max="10778" width="23.00390625" style="186" customWidth="1"/>
    <col min="10779" max="10806" width="11.421875" style="186" hidden="1" customWidth="1"/>
    <col min="10807" max="10985" width="11.421875" style="186" customWidth="1"/>
    <col min="10986" max="10986" width="6.00390625" style="186" customWidth="1"/>
    <col min="10987" max="10987" width="18.140625" style="186" customWidth="1"/>
    <col min="10988" max="10988" width="24.57421875" style="186" customWidth="1"/>
    <col min="10989" max="10989" width="31.00390625" style="186" customWidth="1"/>
    <col min="10990" max="10990" width="12.7109375" style="186" customWidth="1"/>
    <col min="10991" max="10991" width="12.00390625" style="186" customWidth="1"/>
    <col min="10992" max="10992" width="19.8515625" style="186" customWidth="1"/>
    <col min="10993" max="10993" width="17.421875" style="186" customWidth="1"/>
    <col min="10994" max="10994" width="11.421875" style="186" customWidth="1"/>
    <col min="10995" max="10995" width="14.00390625" style="186" customWidth="1"/>
    <col min="10996" max="10996" width="11.57421875" style="186" customWidth="1"/>
    <col min="10997" max="10997" width="10.57421875" style="186" customWidth="1"/>
    <col min="10998" max="11001" width="6.140625" style="186" customWidth="1"/>
    <col min="11002" max="11014" width="11.421875" style="186" hidden="1" customWidth="1"/>
    <col min="11015" max="11017" width="11.421875" style="186" customWidth="1"/>
    <col min="11018" max="11018" width="13.00390625" style="186" customWidth="1"/>
    <col min="11019" max="11021" width="11.421875" style="186" hidden="1" customWidth="1"/>
    <col min="11022" max="11022" width="42.57421875" style="186" customWidth="1"/>
    <col min="11023" max="11023" width="11.421875" style="186" hidden="1" customWidth="1"/>
    <col min="11024" max="11024" width="14.28125" style="186" customWidth="1"/>
    <col min="11025" max="11025" width="11.421875" style="186" hidden="1" customWidth="1"/>
    <col min="11026" max="11026" width="13.8515625" style="186" customWidth="1"/>
    <col min="11027" max="11032" width="11.421875" style="186" hidden="1" customWidth="1"/>
    <col min="11033" max="11033" width="41.421875" style="186" customWidth="1"/>
    <col min="11034" max="11034" width="23.00390625" style="186" customWidth="1"/>
    <col min="11035" max="11062" width="11.421875" style="186" hidden="1" customWidth="1"/>
    <col min="11063" max="11241" width="11.421875" style="186" customWidth="1"/>
    <col min="11242" max="11242" width="6.00390625" style="186" customWidth="1"/>
    <col min="11243" max="11243" width="18.140625" style="186" customWidth="1"/>
    <col min="11244" max="11244" width="24.57421875" style="186" customWidth="1"/>
    <col min="11245" max="11245" width="31.00390625" style="186" customWidth="1"/>
    <col min="11246" max="11246" width="12.7109375" style="186" customWidth="1"/>
    <col min="11247" max="11247" width="12.00390625" style="186" customWidth="1"/>
    <col min="11248" max="11248" width="19.8515625" style="186" customWidth="1"/>
    <col min="11249" max="11249" width="17.421875" style="186" customWidth="1"/>
    <col min="11250" max="11250" width="11.421875" style="186" customWidth="1"/>
    <col min="11251" max="11251" width="14.00390625" style="186" customWidth="1"/>
    <col min="11252" max="11252" width="11.57421875" style="186" customWidth="1"/>
    <col min="11253" max="11253" width="10.57421875" style="186" customWidth="1"/>
    <col min="11254" max="11257" width="6.140625" style="186" customWidth="1"/>
    <col min="11258" max="11270" width="11.421875" style="186" hidden="1" customWidth="1"/>
    <col min="11271" max="11273" width="11.421875" style="186" customWidth="1"/>
    <col min="11274" max="11274" width="13.00390625" style="186" customWidth="1"/>
    <col min="11275" max="11277" width="11.421875" style="186" hidden="1" customWidth="1"/>
    <col min="11278" max="11278" width="42.57421875" style="186" customWidth="1"/>
    <col min="11279" max="11279" width="11.421875" style="186" hidden="1" customWidth="1"/>
    <col min="11280" max="11280" width="14.28125" style="186" customWidth="1"/>
    <col min="11281" max="11281" width="11.421875" style="186" hidden="1" customWidth="1"/>
    <col min="11282" max="11282" width="13.8515625" style="186" customWidth="1"/>
    <col min="11283" max="11288" width="11.421875" style="186" hidden="1" customWidth="1"/>
    <col min="11289" max="11289" width="41.421875" style="186" customWidth="1"/>
    <col min="11290" max="11290" width="23.00390625" style="186" customWidth="1"/>
    <col min="11291" max="11318" width="11.421875" style="186" hidden="1" customWidth="1"/>
    <col min="11319" max="11497" width="11.421875" style="186" customWidth="1"/>
    <col min="11498" max="11498" width="6.00390625" style="186" customWidth="1"/>
    <col min="11499" max="11499" width="18.140625" style="186" customWidth="1"/>
    <col min="11500" max="11500" width="24.57421875" style="186" customWidth="1"/>
    <col min="11501" max="11501" width="31.00390625" style="186" customWidth="1"/>
    <col min="11502" max="11502" width="12.7109375" style="186" customWidth="1"/>
    <col min="11503" max="11503" width="12.00390625" style="186" customWidth="1"/>
    <col min="11504" max="11504" width="19.8515625" style="186" customWidth="1"/>
    <col min="11505" max="11505" width="17.421875" style="186" customWidth="1"/>
    <col min="11506" max="11506" width="11.421875" style="186" customWidth="1"/>
    <col min="11507" max="11507" width="14.00390625" style="186" customWidth="1"/>
    <col min="11508" max="11508" width="11.57421875" style="186" customWidth="1"/>
    <col min="11509" max="11509" width="10.57421875" style="186" customWidth="1"/>
    <col min="11510" max="11513" width="6.140625" style="186" customWidth="1"/>
    <col min="11514" max="11526" width="11.421875" style="186" hidden="1" customWidth="1"/>
    <col min="11527" max="11529" width="11.421875" style="186" customWidth="1"/>
    <col min="11530" max="11530" width="13.00390625" style="186" customWidth="1"/>
    <col min="11531" max="11533" width="11.421875" style="186" hidden="1" customWidth="1"/>
    <col min="11534" max="11534" width="42.57421875" style="186" customWidth="1"/>
    <col min="11535" max="11535" width="11.421875" style="186" hidden="1" customWidth="1"/>
    <col min="11536" max="11536" width="14.28125" style="186" customWidth="1"/>
    <col min="11537" max="11537" width="11.421875" style="186" hidden="1" customWidth="1"/>
    <col min="11538" max="11538" width="13.8515625" style="186" customWidth="1"/>
    <col min="11539" max="11544" width="11.421875" style="186" hidden="1" customWidth="1"/>
    <col min="11545" max="11545" width="41.421875" style="186" customWidth="1"/>
    <col min="11546" max="11546" width="23.00390625" style="186" customWidth="1"/>
    <col min="11547" max="11574" width="11.421875" style="186" hidden="1" customWidth="1"/>
    <col min="11575" max="11753" width="11.421875" style="186" customWidth="1"/>
    <col min="11754" max="11754" width="6.00390625" style="186" customWidth="1"/>
    <col min="11755" max="11755" width="18.140625" style="186" customWidth="1"/>
    <col min="11756" max="11756" width="24.57421875" style="186" customWidth="1"/>
    <col min="11757" max="11757" width="31.00390625" style="186" customWidth="1"/>
    <col min="11758" max="11758" width="12.7109375" style="186" customWidth="1"/>
    <col min="11759" max="11759" width="12.00390625" style="186" customWidth="1"/>
    <col min="11760" max="11760" width="19.8515625" style="186" customWidth="1"/>
    <col min="11761" max="11761" width="17.421875" style="186" customWidth="1"/>
    <col min="11762" max="11762" width="11.421875" style="186" customWidth="1"/>
    <col min="11763" max="11763" width="14.00390625" style="186" customWidth="1"/>
    <col min="11764" max="11764" width="11.57421875" style="186" customWidth="1"/>
    <col min="11765" max="11765" width="10.57421875" style="186" customWidth="1"/>
    <col min="11766" max="11769" width="6.140625" style="186" customWidth="1"/>
    <col min="11770" max="11782" width="11.421875" style="186" hidden="1" customWidth="1"/>
    <col min="11783" max="11785" width="11.421875" style="186" customWidth="1"/>
    <col min="11786" max="11786" width="13.00390625" style="186" customWidth="1"/>
    <col min="11787" max="11789" width="11.421875" style="186" hidden="1" customWidth="1"/>
    <col min="11790" max="11790" width="42.57421875" style="186" customWidth="1"/>
    <col min="11791" max="11791" width="11.421875" style="186" hidden="1" customWidth="1"/>
    <col min="11792" max="11792" width="14.28125" style="186" customWidth="1"/>
    <col min="11793" max="11793" width="11.421875" style="186" hidden="1" customWidth="1"/>
    <col min="11794" max="11794" width="13.8515625" style="186" customWidth="1"/>
    <col min="11795" max="11800" width="11.421875" style="186" hidden="1" customWidth="1"/>
    <col min="11801" max="11801" width="41.421875" style="186" customWidth="1"/>
    <col min="11802" max="11802" width="23.00390625" style="186" customWidth="1"/>
    <col min="11803" max="11830" width="11.421875" style="186" hidden="1" customWidth="1"/>
    <col min="11831" max="12009" width="11.421875" style="186" customWidth="1"/>
    <col min="12010" max="12010" width="6.00390625" style="186" customWidth="1"/>
    <col min="12011" max="12011" width="18.140625" style="186" customWidth="1"/>
    <col min="12012" max="12012" width="24.57421875" style="186" customWidth="1"/>
    <col min="12013" max="12013" width="31.00390625" style="186" customWidth="1"/>
    <col min="12014" max="12014" width="12.7109375" style="186" customWidth="1"/>
    <col min="12015" max="12015" width="12.00390625" style="186" customWidth="1"/>
    <col min="12016" max="12016" width="19.8515625" style="186" customWidth="1"/>
    <col min="12017" max="12017" width="17.421875" style="186" customWidth="1"/>
    <col min="12018" max="12018" width="11.421875" style="186" customWidth="1"/>
    <col min="12019" max="12019" width="14.00390625" style="186" customWidth="1"/>
    <col min="12020" max="12020" width="11.57421875" style="186" customWidth="1"/>
    <col min="12021" max="12021" width="10.57421875" style="186" customWidth="1"/>
    <col min="12022" max="12025" width="6.140625" style="186" customWidth="1"/>
    <col min="12026" max="12038" width="11.421875" style="186" hidden="1" customWidth="1"/>
    <col min="12039" max="12041" width="11.421875" style="186" customWidth="1"/>
    <col min="12042" max="12042" width="13.00390625" style="186" customWidth="1"/>
    <col min="12043" max="12045" width="11.421875" style="186" hidden="1" customWidth="1"/>
    <col min="12046" max="12046" width="42.57421875" style="186" customWidth="1"/>
    <col min="12047" max="12047" width="11.421875" style="186" hidden="1" customWidth="1"/>
    <col min="12048" max="12048" width="14.28125" style="186" customWidth="1"/>
    <col min="12049" max="12049" width="11.421875" style="186" hidden="1" customWidth="1"/>
    <col min="12050" max="12050" width="13.8515625" style="186" customWidth="1"/>
    <col min="12051" max="12056" width="11.421875" style="186" hidden="1" customWidth="1"/>
    <col min="12057" max="12057" width="41.421875" style="186" customWidth="1"/>
    <col min="12058" max="12058" width="23.00390625" style="186" customWidth="1"/>
    <col min="12059" max="12086" width="11.421875" style="186" hidden="1" customWidth="1"/>
    <col min="12087" max="12265" width="11.421875" style="186" customWidth="1"/>
    <col min="12266" max="12266" width="6.00390625" style="186" customWidth="1"/>
    <col min="12267" max="12267" width="18.140625" style="186" customWidth="1"/>
    <col min="12268" max="12268" width="24.57421875" style="186" customWidth="1"/>
    <col min="12269" max="12269" width="31.00390625" style="186" customWidth="1"/>
    <col min="12270" max="12270" width="12.7109375" style="186" customWidth="1"/>
    <col min="12271" max="12271" width="12.00390625" style="186" customWidth="1"/>
    <col min="12272" max="12272" width="19.8515625" style="186" customWidth="1"/>
    <col min="12273" max="12273" width="17.421875" style="186" customWidth="1"/>
    <col min="12274" max="12274" width="11.421875" style="186" customWidth="1"/>
    <col min="12275" max="12275" width="14.00390625" style="186" customWidth="1"/>
    <col min="12276" max="12276" width="11.57421875" style="186" customWidth="1"/>
    <col min="12277" max="12277" width="10.57421875" style="186" customWidth="1"/>
    <col min="12278" max="12281" width="6.140625" style="186" customWidth="1"/>
    <col min="12282" max="12294" width="11.421875" style="186" hidden="1" customWidth="1"/>
    <col min="12295" max="12297" width="11.421875" style="186" customWidth="1"/>
    <col min="12298" max="12298" width="13.00390625" style="186" customWidth="1"/>
    <col min="12299" max="12301" width="11.421875" style="186" hidden="1" customWidth="1"/>
    <col min="12302" max="12302" width="42.57421875" style="186" customWidth="1"/>
    <col min="12303" max="12303" width="11.421875" style="186" hidden="1" customWidth="1"/>
    <col min="12304" max="12304" width="14.28125" style="186" customWidth="1"/>
    <col min="12305" max="12305" width="11.421875" style="186" hidden="1" customWidth="1"/>
    <col min="12306" max="12306" width="13.8515625" style="186" customWidth="1"/>
    <col min="12307" max="12312" width="11.421875" style="186" hidden="1" customWidth="1"/>
    <col min="12313" max="12313" width="41.421875" style="186" customWidth="1"/>
    <col min="12314" max="12314" width="23.00390625" style="186" customWidth="1"/>
    <col min="12315" max="12342" width="11.421875" style="186" hidden="1" customWidth="1"/>
    <col min="12343" max="12521" width="11.421875" style="186" customWidth="1"/>
    <col min="12522" max="12522" width="6.00390625" style="186" customWidth="1"/>
    <col min="12523" max="12523" width="18.140625" style="186" customWidth="1"/>
    <col min="12524" max="12524" width="24.57421875" style="186" customWidth="1"/>
    <col min="12525" max="12525" width="31.00390625" style="186" customWidth="1"/>
    <col min="12526" max="12526" width="12.7109375" style="186" customWidth="1"/>
    <col min="12527" max="12527" width="12.00390625" style="186" customWidth="1"/>
    <col min="12528" max="12528" width="19.8515625" style="186" customWidth="1"/>
    <col min="12529" max="12529" width="17.421875" style="186" customWidth="1"/>
    <col min="12530" max="12530" width="11.421875" style="186" customWidth="1"/>
    <col min="12531" max="12531" width="14.00390625" style="186" customWidth="1"/>
    <col min="12532" max="12532" width="11.57421875" style="186" customWidth="1"/>
    <col min="12533" max="12533" width="10.57421875" style="186" customWidth="1"/>
    <col min="12534" max="12537" width="6.140625" style="186" customWidth="1"/>
    <col min="12538" max="12550" width="11.421875" style="186" hidden="1" customWidth="1"/>
    <col min="12551" max="12553" width="11.421875" style="186" customWidth="1"/>
    <col min="12554" max="12554" width="13.00390625" style="186" customWidth="1"/>
    <col min="12555" max="12557" width="11.421875" style="186" hidden="1" customWidth="1"/>
    <col min="12558" max="12558" width="42.57421875" style="186" customWidth="1"/>
    <col min="12559" max="12559" width="11.421875" style="186" hidden="1" customWidth="1"/>
    <col min="12560" max="12560" width="14.28125" style="186" customWidth="1"/>
    <col min="12561" max="12561" width="11.421875" style="186" hidden="1" customWidth="1"/>
    <col min="12562" max="12562" width="13.8515625" style="186" customWidth="1"/>
    <col min="12563" max="12568" width="11.421875" style="186" hidden="1" customWidth="1"/>
    <col min="12569" max="12569" width="41.421875" style="186" customWidth="1"/>
    <col min="12570" max="12570" width="23.00390625" style="186" customWidth="1"/>
    <col min="12571" max="12598" width="11.421875" style="186" hidden="1" customWidth="1"/>
    <col min="12599" max="12777" width="11.421875" style="186" customWidth="1"/>
    <col min="12778" max="12778" width="6.00390625" style="186" customWidth="1"/>
    <col min="12779" max="12779" width="18.140625" style="186" customWidth="1"/>
    <col min="12780" max="12780" width="24.57421875" style="186" customWidth="1"/>
    <col min="12781" max="12781" width="31.00390625" style="186" customWidth="1"/>
    <col min="12782" max="12782" width="12.7109375" style="186" customWidth="1"/>
    <col min="12783" max="12783" width="12.00390625" style="186" customWidth="1"/>
    <col min="12784" max="12784" width="19.8515625" style="186" customWidth="1"/>
    <col min="12785" max="12785" width="17.421875" style="186" customWidth="1"/>
    <col min="12786" max="12786" width="11.421875" style="186" customWidth="1"/>
    <col min="12787" max="12787" width="14.00390625" style="186" customWidth="1"/>
    <col min="12788" max="12788" width="11.57421875" style="186" customWidth="1"/>
    <col min="12789" max="12789" width="10.57421875" style="186" customWidth="1"/>
    <col min="12790" max="12793" width="6.140625" style="186" customWidth="1"/>
    <col min="12794" max="12806" width="11.421875" style="186" hidden="1" customWidth="1"/>
    <col min="12807" max="12809" width="11.421875" style="186" customWidth="1"/>
    <col min="12810" max="12810" width="13.00390625" style="186" customWidth="1"/>
    <col min="12811" max="12813" width="11.421875" style="186" hidden="1" customWidth="1"/>
    <col min="12814" max="12814" width="42.57421875" style="186" customWidth="1"/>
    <col min="12815" max="12815" width="11.421875" style="186" hidden="1" customWidth="1"/>
    <col min="12816" max="12816" width="14.28125" style="186" customWidth="1"/>
    <col min="12817" max="12817" width="11.421875" style="186" hidden="1" customWidth="1"/>
    <col min="12818" max="12818" width="13.8515625" style="186" customWidth="1"/>
    <col min="12819" max="12824" width="11.421875" style="186" hidden="1" customWidth="1"/>
    <col min="12825" max="12825" width="41.421875" style="186" customWidth="1"/>
    <col min="12826" max="12826" width="23.00390625" style="186" customWidth="1"/>
    <col min="12827" max="12854" width="11.421875" style="186" hidden="1" customWidth="1"/>
    <col min="12855" max="13033" width="11.421875" style="186" customWidth="1"/>
    <col min="13034" max="13034" width="6.00390625" style="186" customWidth="1"/>
    <col min="13035" max="13035" width="18.140625" style="186" customWidth="1"/>
    <col min="13036" max="13036" width="24.57421875" style="186" customWidth="1"/>
    <col min="13037" max="13037" width="31.00390625" style="186" customWidth="1"/>
    <col min="13038" max="13038" width="12.7109375" style="186" customWidth="1"/>
    <col min="13039" max="13039" width="12.00390625" style="186" customWidth="1"/>
    <col min="13040" max="13040" width="19.8515625" style="186" customWidth="1"/>
    <col min="13041" max="13041" width="17.421875" style="186" customWidth="1"/>
    <col min="13042" max="13042" width="11.421875" style="186" customWidth="1"/>
    <col min="13043" max="13043" width="14.00390625" style="186" customWidth="1"/>
    <col min="13044" max="13044" width="11.57421875" style="186" customWidth="1"/>
    <col min="13045" max="13045" width="10.57421875" style="186" customWidth="1"/>
    <col min="13046" max="13049" width="6.140625" style="186" customWidth="1"/>
    <col min="13050" max="13062" width="11.421875" style="186" hidden="1" customWidth="1"/>
    <col min="13063" max="13065" width="11.421875" style="186" customWidth="1"/>
    <col min="13066" max="13066" width="13.00390625" style="186" customWidth="1"/>
    <col min="13067" max="13069" width="11.421875" style="186" hidden="1" customWidth="1"/>
    <col min="13070" max="13070" width="42.57421875" style="186" customWidth="1"/>
    <col min="13071" max="13071" width="11.421875" style="186" hidden="1" customWidth="1"/>
    <col min="13072" max="13072" width="14.28125" style="186" customWidth="1"/>
    <col min="13073" max="13073" width="11.421875" style="186" hidden="1" customWidth="1"/>
    <col min="13074" max="13074" width="13.8515625" style="186" customWidth="1"/>
    <col min="13075" max="13080" width="11.421875" style="186" hidden="1" customWidth="1"/>
    <col min="13081" max="13081" width="41.421875" style="186" customWidth="1"/>
    <col min="13082" max="13082" width="23.00390625" style="186" customWidth="1"/>
    <col min="13083" max="13110" width="11.421875" style="186" hidden="1" customWidth="1"/>
    <col min="13111" max="13289" width="11.421875" style="186" customWidth="1"/>
    <col min="13290" max="13290" width="6.00390625" style="186" customWidth="1"/>
    <col min="13291" max="13291" width="18.140625" style="186" customWidth="1"/>
    <col min="13292" max="13292" width="24.57421875" style="186" customWidth="1"/>
    <col min="13293" max="13293" width="31.00390625" style="186" customWidth="1"/>
    <col min="13294" max="13294" width="12.7109375" style="186" customWidth="1"/>
    <col min="13295" max="13295" width="12.00390625" style="186" customWidth="1"/>
    <col min="13296" max="13296" width="19.8515625" style="186" customWidth="1"/>
    <col min="13297" max="13297" width="17.421875" style="186" customWidth="1"/>
    <col min="13298" max="13298" width="11.421875" style="186" customWidth="1"/>
    <col min="13299" max="13299" width="14.00390625" style="186" customWidth="1"/>
    <col min="13300" max="13300" width="11.57421875" style="186" customWidth="1"/>
    <col min="13301" max="13301" width="10.57421875" style="186" customWidth="1"/>
    <col min="13302" max="13305" width="6.140625" style="186" customWidth="1"/>
    <col min="13306" max="13318" width="11.421875" style="186" hidden="1" customWidth="1"/>
    <col min="13319" max="13321" width="11.421875" style="186" customWidth="1"/>
    <col min="13322" max="13322" width="13.00390625" style="186" customWidth="1"/>
    <col min="13323" max="13325" width="11.421875" style="186" hidden="1" customWidth="1"/>
    <col min="13326" max="13326" width="42.57421875" style="186" customWidth="1"/>
    <col min="13327" max="13327" width="11.421875" style="186" hidden="1" customWidth="1"/>
    <col min="13328" max="13328" width="14.28125" style="186" customWidth="1"/>
    <col min="13329" max="13329" width="11.421875" style="186" hidden="1" customWidth="1"/>
    <col min="13330" max="13330" width="13.8515625" style="186" customWidth="1"/>
    <col min="13331" max="13336" width="11.421875" style="186" hidden="1" customWidth="1"/>
    <col min="13337" max="13337" width="41.421875" style="186" customWidth="1"/>
    <col min="13338" max="13338" width="23.00390625" style="186" customWidth="1"/>
    <col min="13339" max="13366" width="11.421875" style="186" hidden="1" customWidth="1"/>
    <col min="13367" max="13545" width="11.421875" style="186" customWidth="1"/>
    <col min="13546" max="13546" width="6.00390625" style="186" customWidth="1"/>
    <col min="13547" max="13547" width="18.140625" style="186" customWidth="1"/>
    <col min="13548" max="13548" width="24.57421875" style="186" customWidth="1"/>
    <col min="13549" max="13549" width="31.00390625" style="186" customWidth="1"/>
    <col min="13550" max="13550" width="12.7109375" style="186" customWidth="1"/>
    <col min="13551" max="13551" width="12.00390625" style="186" customWidth="1"/>
    <col min="13552" max="13552" width="19.8515625" style="186" customWidth="1"/>
    <col min="13553" max="13553" width="17.421875" style="186" customWidth="1"/>
    <col min="13554" max="13554" width="11.421875" style="186" customWidth="1"/>
    <col min="13555" max="13555" width="14.00390625" style="186" customWidth="1"/>
    <col min="13556" max="13556" width="11.57421875" style="186" customWidth="1"/>
    <col min="13557" max="13557" width="10.57421875" style="186" customWidth="1"/>
    <col min="13558" max="13561" width="6.140625" style="186" customWidth="1"/>
    <col min="13562" max="13574" width="11.421875" style="186" hidden="1" customWidth="1"/>
    <col min="13575" max="13577" width="11.421875" style="186" customWidth="1"/>
    <col min="13578" max="13578" width="13.00390625" style="186" customWidth="1"/>
    <col min="13579" max="13581" width="11.421875" style="186" hidden="1" customWidth="1"/>
    <col min="13582" max="13582" width="42.57421875" style="186" customWidth="1"/>
    <col min="13583" max="13583" width="11.421875" style="186" hidden="1" customWidth="1"/>
    <col min="13584" max="13584" width="14.28125" style="186" customWidth="1"/>
    <col min="13585" max="13585" width="11.421875" style="186" hidden="1" customWidth="1"/>
    <col min="13586" max="13586" width="13.8515625" style="186" customWidth="1"/>
    <col min="13587" max="13592" width="11.421875" style="186" hidden="1" customWidth="1"/>
    <col min="13593" max="13593" width="41.421875" style="186" customWidth="1"/>
    <col min="13594" max="13594" width="23.00390625" style="186" customWidth="1"/>
    <col min="13595" max="13622" width="11.421875" style="186" hidden="1" customWidth="1"/>
    <col min="13623" max="13801" width="11.421875" style="186" customWidth="1"/>
    <col min="13802" max="13802" width="6.00390625" style="186" customWidth="1"/>
    <col min="13803" max="13803" width="18.140625" style="186" customWidth="1"/>
    <col min="13804" max="13804" width="24.57421875" style="186" customWidth="1"/>
    <col min="13805" max="13805" width="31.00390625" style="186" customWidth="1"/>
    <col min="13806" max="13806" width="12.7109375" style="186" customWidth="1"/>
    <col min="13807" max="13807" width="12.00390625" style="186" customWidth="1"/>
    <col min="13808" max="13808" width="19.8515625" style="186" customWidth="1"/>
    <col min="13809" max="13809" width="17.421875" style="186" customWidth="1"/>
    <col min="13810" max="13810" width="11.421875" style="186" customWidth="1"/>
    <col min="13811" max="13811" width="14.00390625" style="186" customWidth="1"/>
    <col min="13812" max="13812" width="11.57421875" style="186" customWidth="1"/>
    <col min="13813" max="13813" width="10.57421875" style="186" customWidth="1"/>
    <col min="13814" max="13817" width="6.140625" style="186" customWidth="1"/>
    <col min="13818" max="13830" width="11.421875" style="186" hidden="1" customWidth="1"/>
    <col min="13831" max="13833" width="11.421875" style="186" customWidth="1"/>
    <col min="13834" max="13834" width="13.00390625" style="186" customWidth="1"/>
    <col min="13835" max="13837" width="11.421875" style="186" hidden="1" customWidth="1"/>
    <col min="13838" max="13838" width="42.57421875" style="186" customWidth="1"/>
    <col min="13839" max="13839" width="11.421875" style="186" hidden="1" customWidth="1"/>
    <col min="13840" max="13840" width="14.28125" style="186" customWidth="1"/>
    <col min="13841" max="13841" width="11.421875" style="186" hidden="1" customWidth="1"/>
    <col min="13842" max="13842" width="13.8515625" style="186" customWidth="1"/>
    <col min="13843" max="13848" width="11.421875" style="186" hidden="1" customWidth="1"/>
    <col min="13849" max="13849" width="41.421875" style="186" customWidth="1"/>
    <col min="13850" max="13850" width="23.00390625" style="186" customWidth="1"/>
    <col min="13851" max="13878" width="11.421875" style="186" hidden="1" customWidth="1"/>
    <col min="13879" max="14057" width="11.421875" style="186" customWidth="1"/>
    <col min="14058" max="14058" width="6.00390625" style="186" customWidth="1"/>
    <col min="14059" max="14059" width="18.140625" style="186" customWidth="1"/>
    <col min="14060" max="14060" width="24.57421875" style="186" customWidth="1"/>
    <col min="14061" max="14061" width="31.00390625" style="186" customWidth="1"/>
    <col min="14062" max="14062" width="12.7109375" style="186" customWidth="1"/>
    <col min="14063" max="14063" width="12.00390625" style="186" customWidth="1"/>
    <col min="14064" max="14064" width="19.8515625" style="186" customWidth="1"/>
    <col min="14065" max="14065" width="17.421875" style="186" customWidth="1"/>
    <col min="14066" max="14066" width="11.421875" style="186" customWidth="1"/>
    <col min="14067" max="14067" width="14.00390625" style="186" customWidth="1"/>
    <col min="14068" max="14068" width="11.57421875" style="186" customWidth="1"/>
    <col min="14069" max="14069" width="10.57421875" style="186" customWidth="1"/>
    <col min="14070" max="14073" width="6.140625" style="186" customWidth="1"/>
    <col min="14074" max="14086" width="11.421875" style="186" hidden="1" customWidth="1"/>
    <col min="14087" max="14089" width="11.421875" style="186" customWidth="1"/>
    <col min="14090" max="14090" width="13.00390625" style="186" customWidth="1"/>
    <col min="14091" max="14093" width="11.421875" style="186" hidden="1" customWidth="1"/>
    <col min="14094" max="14094" width="42.57421875" style="186" customWidth="1"/>
    <col min="14095" max="14095" width="11.421875" style="186" hidden="1" customWidth="1"/>
    <col min="14096" max="14096" width="14.28125" style="186" customWidth="1"/>
    <col min="14097" max="14097" width="11.421875" style="186" hidden="1" customWidth="1"/>
    <col min="14098" max="14098" width="13.8515625" style="186" customWidth="1"/>
    <col min="14099" max="14104" width="11.421875" style="186" hidden="1" customWidth="1"/>
    <col min="14105" max="14105" width="41.421875" style="186" customWidth="1"/>
    <col min="14106" max="14106" width="23.00390625" style="186" customWidth="1"/>
    <col min="14107" max="14134" width="11.421875" style="186" hidden="1" customWidth="1"/>
    <col min="14135" max="14313" width="11.421875" style="186" customWidth="1"/>
    <col min="14314" max="14314" width="6.00390625" style="186" customWidth="1"/>
    <col min="14315" max="14315" width="18.140625" style="186" customWidth="1"/>
    <col min="14316" max="14316" width="24.57421875" style="186" customWidth="1"/>
    <col min="14317" max="14317" width="31.00390625" style="186" customWidth="1"/>
    <col min="14318" max="14318" width="12.7109375" style="186" customWidth="1"/>
    <col min="14319" max="14319" width="12.00390625" style="186" customWidth="1"/>
    <col min="14320" max="14320" width="19.8515625" style="186" customWidth="1"/>
    <col min="14321" max="14321" width="17.421875" style="186" customWidth="1"/>
    <col min="14322" max="14322" width="11.421875" style="186" customWidth="1"/>
    <col min="14323" max="14323" width="14.00390625" style="186" customWidth="1"/>
    <col min="14324" max="14324" width="11.57421875" style="186" customWidth="1"/>
    <col min="14325" max="14325" width="10.57421875" style="186" customWidth="1"/>
    <col min="14326" max="14329" width="6.140625" style="186" customWidth="1"/>
    <col min="14330" max="14342" width="11.421875" style="186" hidden="1" customWidth="1"/>
    <col min="14343" max="14345" width="11.421875" style="186" customWidth="1"/>
    <col min="14346" max="14346" width="13.00390625" style="186" customWidth="1"/>
    <col min="14347" max="14349" width="11.421875" style="186" hidden="1" customWidth="1"/>
    <col min="14350" max="14350" width="42.57421875" style="186" customWidth="1"/>
    <col min="14351" max="14351" width="11.421875" style="186" hidden="1" customWidth="1"/>
    <col min="14352" max="14352" width="14.28125" style="186" customWidth="1"/>
    <col min="14353" max="14353" width="11.421875" style="186" hidden="1" customWidth="1"/>
    <col min="14354" max="14354" width="13.8515625" style="186" customWidth="1"/>
    <col min="14355" max="14360" width="11.421875" style="186" hidden="1" customWidth="1"/>
    <col min="14361" max="14361" width="41.421875" style="186" customWidth="1"/>
    <col min="14362" max="14362" width="23.00390625" style="186" customWidth="1"/>
    <col min="14363" max="14390" width="11.421875" style="186" hidden="1" customWidth="1"/>
    <col min="14391" max="14569" width="11.421875" style="186" customWidth="1"/>
    <col min="14570" max="14570" width="6.00390625" style="186" customWidth="1"/>
    <col min="14571" max="14571" width="18.140625" style="186" customWidth="1"/>
    <col min="14572" max="14572" width="24.57421875" style="186" customWidth="1"/>
    <col min="14573" max="14573" width="31.00390625" style="186" customWidth="1"/>
    <col min="14574" max="14574" width="12.7109375" style="186" customWidth="1"/>
    <col min="14575" max="14575" width="12.00390625" style="186" customWidth="1"/>
    <col min="14576" max="14576" width="19.8515625" style="186" customWidth="1"/>
    <col min="14577" max="14577" width="17.421875" style="186" customWidth="1"/>
    <col min="14578" max="14578" width="11.421875" style="186" customWidth="1"/>
    <col min="14579" max="14579" width="14.00390625" style="186" customWidth="1"/>
    <col min="14580" max="14580" width="11.57421875" style="186" customWidth="1"/>
    <col min="14581" max="14581" width="10.57421875" style="186" customWidth="1"/>
    <col min="14582" max="14585" width="6.140625" style="186" customWidth="1"/>
    <col min="14586" max="14598" width="11.421875" style="186" hidden="1" customWidth="1"/>
    <col min="14599" max="14601" width="11.421875" style="186" customWidth="1"/>
    <col min="14602" max="14602" width="13.00390625" style="186" customWidth="1"/>
    <col min="14603" max="14605" width="11.421875" style="186" hidden="1" customWidth="1"/>
    <col min="14606" max="14606" width="42.57421875" style="186" customWidth="1"/>
    <col min="14607" max="14607" width="11.421875" style="186" hidden="1" customWidth="1"/>
    <col min="14608" max="14608" width="14.28125" style="186" customWidth="1"/>
    <col min="14609" max="14609" width="11.421875" style="186" hidden="1" customWidth="1"/>
    <col min="14610" max="14610" width="13.8515625" style="186" customWidth="1"/>
    <col min="14611" max="14616" width="11.421875" style="186" hidden="1" customWidth="1"/>
    <col min="14617" max="14617" width="41.421875" style="186" customWidth="1"/>
    <col min="14618" max="14618" width="23.00390625" style="186" customWidth="1"/>
    <col min="14619" max="14646" width="11.421875" style="186" hidden="1" customWidth="1"/>
    <col min="14647" max="14825" width="11.421875" style="186" customWidth="1"/>
    <col min="14826" max="14826" width="6.00390625" style="186" customWidth="1"/>
    <col min="14827" max="14827" width="18.140625" style="186" customWidth="1"/>
    <col min="14828" max="14828" width="24.57421875" style="186" customWidth="1"/>
    <col min="14829" max="14829" width="31.00390625" style="186" customWidth="1"/>
    <col min="14830" max="14830" width="12.7109375" style="186" customWidth="1"/>
    <col min="14831" max="14831" width="12.00390625" style="186" customWidth="1"/>
    <col min="14832" max="14832" width="19.8515625" style="186" customWidth="1"/>
    <col min="14833" max="14833" width="17.421875" style="186" customWidth="1"/>
    <col min="14834" max="14834" width="11.421875" style="186" customWidth="1"/>
    <col min="14835" max="14835" width="14.00390625" style="186" customWidth="1"/>
    <col min="14836" max="14836" width="11.57421875" style="186" customWidth="1"/>
    <col min="14837" max="14837" width="10.57421875" style="186" customWidth="1"/>
    <col min="14838" max="14841" width="6.140625" style="186" customWidth="1"/>
    <col min="14842" max="14854" width="11.421875" style="186" hidden="1" customWidth="1"/>
    <col min="14855" max="14857" width="11.421875" style="186" customWidth="1"/>
    <col min="14858" max="14858" width="13.00390625" style="186" customWidth="1"/>
    <col min="14859" max="14861" width="11.421875" style="186" hidden="1" customWidth="1"/>
    <col min="14862" max="14862" width="42.57421875" style="186" customWidth="1"/>
    <col min="14863" max="14863" width="11.421875" style="186" hidden="1" customWidth="1"/>
    <col min="14864" max="14864" width="14.28125" style="186" customWidth="1"/>
    <col min="14865" max="14865" width="11.421875" style="186" hidden="1" customWidth="1"/>
    <col min="14866" max="14866" width="13.8515625" style="186" customWidth="1"/>
    <col min="14867" max="14872" width="11.421875" style="186" hidden="1" customWidth="1"/>
    <col min="14873" max="14873" width="41.421875" style="186" customWidth="1"/>
    <col min="14874" max="14874" width="23.00390625" style="186" customWidth="1"/>
    <col min="14875" max="14902" width="11.421875" style="186" hidden="1" customWidth="1"/>
    <col min="14903" max="15081" width="11.421875" style="186" customWidth="1"/>
    <col min="15082" max="15082" width="6.00390625" style="186" customWidth="1"/>
    <col min="15083" max="15083" width="18.140625" style="186" customWidth="1"/>
    <col min="15084" max="15084" width="24.57421875" style="186" customWidth="1"/>
    <col min="15085" max="15085" width="31.00390625" style="186" customWidth="1"/>
    <col min="15086" max="15086" width="12.7109375" style="186" customWidth="1"/>
    <col min="15087" max="15087" width="12.00390625" style="186" customWidth="1"/>
    <col min="15088" max="15088" width="19.8515625" style="186" customWidth="1"/>
    <col min="15089" max="15089" width="17.421875" style="186" customWidth="1"/>
    <col min="15090" max="15090" width="11.421875" style="186" customWidth="1"/>
    <col min="15091" max="15091" width="14.00390625" style="186" customWidth="1"/>
    <col min="15092" max="15092" width="11.57421875" style="186" customWidth="1"/>
    <col min="15093" max="15093" width="10.57421875" style="186" customWidth="1"/>
    <col min="15094" max="15097" width="6.140625" style="186" customWidth="1"/>
    <col min="15098" max="15110" width="11.421875" style="186" hidden="1" customWidth="1"/>
    <col min="15111" max="15113" width="11.421875" style="186" customWidth="1"/>
    <col min="15114" max="15114" width="13.00390625" style="186" customWidth="1"/>
    <col min="15115" max="15117" width="11.421875" style="186" hidden="1" customWidth="1"/>
    <col min="15118" max="15118" width="42.57421875" style="186" customWidth="1"/>
    <col min="15119" max="15119" width="11.421875" style="186" hidden="1" customWidth="1"/>
    <col min="15120" max="15120" width="14.28125" style="186" customWidth="1"/>
    <col min="15121" max="15121" width="11.421875" style="186" hidden="1" customWidth="1"/>
    <col min="15122" max="15122" width="13.8515625" style="186" customWidth="1"/>
    <col min="15123" max="15128" width="11.421875" style="186" hidden="1" customWidth="1"/>
    <col min="15129" max="15129" width="41.421875" style="186" customWidth="1"/>
    <col min="15130" max="15130" width="23.00390625" style="186" customWidth="1"/>
    <col min="15131" max="15158" width="11.421875" style="186" hidden="1" customWidth="1"/>
    <col min="15159" max="15337" width="11.421875" style="186" customWidth="1"/>
    <col min="15338" max="15338" width="6.00390625" style="186" customWidth="1"/>
    <col min="15339" max="15339" width="18.140625" style="186" customWidth="1"/>
    <col min="15340" max="15340" width="24.57421875" style="186" customWidth="1"/>
    <col min="15341" max="15341" width="31.00390625" style="186" customWidth="1"/>
    <col min="15342" max="15342" width="12.7109375" style="186" customWidth="1"/>
    <col min="15343" max="15343" width="12.00390625" style="186" customWidth="1"/>
    <col min="15344" max="15344" width="19.8515625" style="186" customWidth="1"/>
    <col min="15345" max="15345" width="17.421875" style="186" customWidth="1"/>
    <col min="15346" max="15346" width="11.421875" style="186" customWidth="1"/>
    <col min="15347" max="15347" width="14.00390625" style="186" customWidth="1"/>
    <col min="15348" max="15348" width="11.57421875" style="186" customWidth="1"/>
    <col min="15349" max="15349" width="10.57421875" style="186" customWidth="1"/>
    <col min="15350" max="15353" width="6.140625" style="186" customWidth="1"/>
    <col min="15354" max="15366" width="11.421875" style="186" hidden="1" customWidth="1"/>
    <col min="15367" max="15369" width="11.421875" style="186" customWidth="1"/>
    <col min="15370" max="15370" width="13.00390625" style="186" customWidth="1"/>
    <col min="15371" max="15373" width="11.421875" style="186" hidden="1" customWidth="1"/>
    <col min="15374" max="15374" width="42.57421875" style="186" customWidth="1"/>
    <col min="15375" max="15375" width="11.421875" style="186" hidden="1" customWidth="1"/>
    <col min="15376" max="15376" width="14.28125" style="186" customWidth="1"/>
    <col min="15377" max="15377" width="11.421875" style="186" hidden="1" customWidth="1"/>
    <col min="15378" max="15378" width="13.8515625" style="186" customWidth="1"/>
    <col min="15379" max="15384" width="11.421875" style="186" hidden="1" customWidth="1"/>
    <col min="15385" max="15385" width="41.421875" style="186" customWidth="1"/>
    <col min="15386" max="15386" width="23.00390625" style="186" customWidth="1"/>
    <col min="15387" max="15414" width="11.421875" style="186" hidden="1" customWidth="1"/>
    <col min="15415" max="15593" width="11.421875" style="186" customWidth="1"/>
    <col min="15594" max="15594" width="6.00390625" style="186" customWidth="1"/>
    <col min="15595" max="15595" width="18.140625" style="186" customWidth="1"/>
    <col min="15596" max="15596" width="24.57421875" style="186" customWidth="1"/>
    <col min="15597" max="15597" width="31.00390625" style="186" customWidth="1"/>
    <col min="15598" max="15598" width="12.7109375" style="186" customWidth="1"/>
    <col min="15599" max="15599" width="12.00390625" style="186" customWidth="1"/>
    <col min="15600" max="15600" width="19.8515625" style="186" customWidth="1"/>
    <col min="15601" max="15601" width="17.421875" style="186" customWidth="1"/>
    <col min="15602" max="15602" width="11.421875" style="186" customWidth="1"/>
    <col min="15603" max="15603" width="14.00390625" style="186" customWidth="1"/>
    <col min="15604" max="15604" width="11.57421875" style="186" customWidth="1"/>
    <col min="15605" max="15605" width="10.57421875" style="186" customWidth="1"/>
    <col min="15606" max="15609" width="6.140625" style="186" customWidth="1"/>
    <col min="15610" max="15622" width="11.421875" style="186" hidden="1" customWidth="1"/>
    <col min="15623" max="15625" width="11.421875" style="186" customWidth="1"/>
    <col min="15626" max="15626" width="13.00390625" style="186" customWidth="1"/>
    <col min="15627" max="15629" width="11.421875" style="186" hidden="1" customWidth="1"/>
    <col min="15630" max="15630" width="42.57421875" style="186" customWidth="1"/>
    <col min="15631" max="15631" width="11.421875" style="186" hidden="1" customWidth="1"/>
    <col min="15632" max="15632" width="14.28125" style="186" customWidth="1"/>
    <col min="15633" max="15633" width="11.421875" style="186" hidden="1" customWidth="1"/>
    <col min="15634" max="15634" width="13.8515625" style="186" customWidth="1"/>
    <col min="15635" max="15640" width="11.421875" style="186" hidden="1" customWidth="1"/>
    <col min="15641" max="15641" width="41.421875" style="186" customWidth="1"/>
    <col min="15642" max="15642" width="23.00390625" style="186" customWidth="1"/>
    <col min="15643" max="15670" width="11.421875" style="186" hidden="1" customWidth="1"/>
    <col min="15671" max="15849" width="11.421875" style="186" customWidth="1"/>
    <col min="15850" max="15850" width="6.00390625" style="186" customWidth="1"/>
    <col min="15851" max="15851" width="18.140625" style="186" customWidth="1"/>
    <col min="15852" max="15852" width="24.57421875" style="186" customWidth="1"/>
    <col min="15853" max="15853" width="31.00390625" style="186" customWidth="1"/>
    <col min="15854" max="15854" width="12.7109375" style="186" customWidth="1"/>
    <col min="15855" max="15855" width="12.00390625" style="186" customWidth="1"/>
    <col min="15856" max="15856" width="19.8515625" style="186" customWidth="1"/>
    <col min="15857" max="15857" width="17.421875" style="186" customWidth="1"/>
    <col min="15858" max="15858" width="11.421875" style="186" customWidth="1"/>
    <col min="15859" max="15859" width="14.00390625" style="186" customWidth="1"/>
    <col min="15860" max="15860" width="11.57421875" style="186" customWidth="1"/>
    <col min="15861" max="15861" width="10.57421875" style="186" customWidth="1"/>
    <col min="15862" max="15865" width="6.140625" style="186" customWidth="1"/>
    <col min="15866" max="15878" width="11.421875" style="186" hidden="1" customWidth="1"/>
    <col min="15879" max="15881" width="11.421875" style="186" customWidth="1"/>
    <col min="15882" max="15882" width="13.00390625" style="186" customWidth="1"/>
    <col min="15883" max="15885" width="11.421875" style="186" hidden="1" customWidth="1"/>
    <col min="15886" max="15886" width="42.57421875" style="186" customWidth="1"/>
    <col min="15887" max="15887" width="11.421875" style="186" hidden="1" customWidth="1"/>
    <col min="15888" max="15888" width="14.28125" style="186" customWidth="1"/>
    <col min="15889" max="15889" width="11.421875" style="186" hidden="1" customWidth="1"/>
    <col min="15890" max="15890" width="13.8515625" style="186" customWidth="1"/>
    <col min="15891" max="15896" width="11.421875" style="186" hidden="1" customWidth="1"/>
    <col min="15897" max="15897" width="41.421875" style="186" customWidth="1"/>
    <col min="15898" max="15898" width="23.00390625" style="186" customWidth="1"/>
    <col min="15899" max="15926" width="11.421875" style="186" hidden="1" customWidth="1"/>
    <col min="15927" max="16105" width="11.421875" style="186" customWidth="1"/>
    <col min="16106" max="16106" width="6.00390625" style="186" customWidth="1"/>
    <col min="16107" max="16107" width="18.140625" style="186" customWidth="1"/>
    <col min="16108" max="16108" width="24.57421875" style="186" customWidth="1"/>
    <col min="16109" max="16109" width="31.00390625" style="186" customWidth="1"/>
    <col min="16110" max="16110" width="12.7109375" style="186" customWidth="1"/>
    <col min="16111" max="16111" width="12.00390625" style="186" customWidth="1"/>
    <col min="16112" max="16112" width="19.8515625" style="186" customWidth="1"/>
    <col min="16113" max="16113" width="17.421875" style="186" customWidth="1"/>
    <col min="16114" max="16114" width="11.421875" style="186" customWidth="1"/>
    <col min="16115" max="16115" width="14.00390625" style="186" customWidth="1"/>
    <col min="16116" max="16116" width="11.57421875" style="186" customWidth="1"/>
    <col min="16117" max="16117" width="10.57421875" style="186" customWidth="1"/>
    <col min="16118" max="16121" width="6.140625" style="186" customWidth="1"/>
    <col min="16122" max="16134" width="11.421875" style="186" hidden="1" customWidth="1"/>
    <col min="16135" max="16137" width="11.421875" style="186" customWidth="1"/>
    <col min="16138" max="16138" width="13.00390625" style="186" customWidth="1"/>
    <col min="16139" max="16141" width="11.421875" style="186" hidden="1" customWidth="1"/>
    <col min="16142" max="16142" width="42.57421875" style="186" customWidth="1"/>
    <col min="16143" max="16143" width="11.421875" style="186" hidden="1" customWidth="1"/>
    <col min="16144" max="16144" width="14.28125" style="186" customWidth="1"/>
    <col min="16145" max="16145" width="11.421875" style="186" hidden="1" customWidth="1"/>
    <col min="16146" max="16146" width="13.8515625" style="186" customWidth="1"/>
    <col min="16147" max="16152" width="11.421875" style="186" hidden="1" customWidth="1"/>
    <col min="16153" max="16153" width="41.421875" style="186" customWidth="1"/>
    <col min="16154" max="16154" width="23.00390625" style="186" customWidth="1"/>
    <col min="16155" max="16182" width="11.421875" style="186" hidden="1" customWidth="1"/>
    <col min="16183" max="16384" width="11.421875" style="186" customWidth="1"/>
  </cols>
  <sheetData>
    <row r="1" spans="1:55" s="1766" customFormat="1"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row>
    <row r="2" spans="1:55" s="1766" customFormat="1" ht="15.7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row>
    <row r="3" spans="1:55" s="1766" customFormat="1" ht="1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row>
    <row r="4" spans="1:55" s="1766" customFormat="1" ht="15.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708"/>
      <c r="AX4" s="2708"/>
      <c r="AY4" s="2708"/>
      <c r="AZ4" s="2708"/>
      <c r="BA4" s="2708"/>
      <c r="BB4" s="2708"/>
      <c r="BC4" s="2708"/>
    </row>
    <row r="5" spans="1:68" s="1766" customFormat="1"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520" t="s">
        <v>2852</v>
      </c>
      <c r="AX5" s="2521"/>
      <c r="AY5" s="2521"/>
      <c r="AZ5" s="2521"/>
      <c r="BA5" s="2521"/>
      <c r="BB5" s="2521"/>
      <c r="BC5" s="2521"/>
      <c r="BD5" s="2521"/>
      <c r="BE5" s="2521"/>
      <c r="BF5" s="2522"/>
      <c r="BG5" s="2575" t="s">
        <v>2856</v>
      </c>
      <c r="BH5" s="2576"/>
      <c r="BI5" s="2576"/>
      <c r="BJ5" s="2576"/>
      <c r="BK5" s="2576"/>
      <c r="BL5" s="2576"/>
      <c r="BM5" s="2576"/>
      <c r="BN5" s="2576"/>
      <c r="BO5" s="2576"/>
      <c r="BP5" s="2577"/>
    </row>
    <row r="6" spans="1:68" s="1766" customFormat="1"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523"/>
      <c r="AX6" s="2524"/>
      <c r="AY6" s="2524"/>
      <c r="AZ6" s="2524"/>
      <c r="BA6" s="2524"/>
      <c r="BB6" s="2524"/>
      <c r="BC6" s="2524"/>
      <c r="BD6" s="2524"/>
      <c r="BE6" s="2524"/>
      <c r="BF6" s="2525"/>
      <c r="BG6" s="2578"/>
      <c r="BH6" s="2579"/>
      <c r="BI6" s="2579"/>
      <c r="BJ6" s="2579"/>
      <c r="BK6" s="2579"/>
      <c r="BL6" s="2579"/>
      <c r="BM6" s="2579"/>
      <c r="BN6" s="2579"/>
      <c r="BO6" s="2579"/>
      <c r="BP6" s="2580"/>
    </row>
    <row r="7" spans="1:68" s="1766" customFormat="1"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2452</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523"/>
      <c r="AX7" s="2524"/>
      <c r="AY7" s="2524"/>
      <c r="AZ7" s="2524"/>
      <c r="BA7" s="2524"/>
      <c r="BB7" s="2524"/>
      <c r="BC7" s="2524"/>
      <c r="BD7" s="2524"/>
      <c r="BE7" s="2524"/>
      <c r="BF7" s="2525"/>
      <c r="BG7" s="2578"/>
      <c r="BH7" s="2579"/>
      <c r="BI7" s="2579"/>
      <c r="BJ7" s="2579"/>
      <c r="BK7" s="2579"/>
      <c r="BL7" s="2579"/>
      <c r="BM7" s="2579"/>
      <c r="BN7" s="2579"/>
      <c r="BO7" s="2579"/>
      <c r="BP7" s="2580"/>
    </row>
    <row r="8" spans="1:68" s="1766" customFormat="1"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523"/>
      <c r="AX8" s="2524"/>
      <c r="AY8" s="2524"/>
      <c r="AZ8" s="2524"/>
      <c r="BA8" s="2524"/>
      <c r="BB8" s="2524"/>
      <c r="BC8" s="2524"/>
      <c r="BD8" s="2524"/>
      <c r="BE8" s="2524"/>
      <c r="BF8" s="2525"/>
      <c r="BG8" s="2578"/>
      <c r="BH8" s="2579"/>
      <c r="BI8" s="2579"/>
      <c r="BJ8" s="2579"/>
      <c r="BK8" s="2579"/>
      <c r="BL8" s="2579"/>
      <c r="BM8" s="2579"/>
      <c r="BN8" s="2579"/>
      <c r="BO8" s="2579"/>
      <c r="BP8" s="2580"/>
    </row>
    <row r="9" spans="1:68" s="1766" customFormat="1" ht="16.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526"/>
      <c r="AX9" s="2527"/>
      <c r="AY9" s="2527"/>
      <c r="AZ9" s="2527"/>
      <c r="BA9" s="2527"/>
      <c r="BB9" s="2527"/>
      <c r="BC9" s="2527"/>
      <c r="BD9" s="2527"/>
      <c r="BE9" s="2527"/>
      <c r="BF9" s="2528"/>
      <c r="BG9" s="2581"/>
      <c r="BH9" s="2582"/>
      <c r="BI9" s="2582"/>
      <c r="BJ9" s="2582"/>
      <c r="BK9" s="2582"/>
      <c r="BL9" s="2582"/>
      <c r="BM9" s="2582"/>
      <c r="BN9" s="2582"/>
      <c r="BO9" s="2582"/>
      <c r="BP9" s="2583"/>
    </row>
    <row r="10" spans="59:65" ht="13.5" thickBot="1">
      <c r="BG10" s="449"/>
      <c r="BH10" s="449"/>
      <c r="BI10" s="449"/>
      <c r="BJ10" s="449"/>
      <c r="BK10" s="449"/>
      <c r="BL10" s="449"/>
      <c r="BM10" s="449"/>
    </row>
    <row r="11" spans="1:68" s="4" customFormat="1" ht="15.75" customHeight="1" thickBot="1">
      <c r="A11" s="2887" t="s">
        <v>934</v>
      </c>
      <c r="B11" s="2888"/>
      <c r="C11" s="2889"/>
      <c r="D11" s="2642" t="s">
        <v>1095</v>
      </c>
      <c r="E11" s="2643"/>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37" t="s">
        <v>1095</v>
      </c>
      <c r="AC11" s="2637"/>
      <c r="AD11" s="2637"/>
      <c r="AE11" s="2637"/>
      <c r="AF11" s="2637"/>
      <c r="AG11" s="2637"/>
      <c r="AH11" s="2637"/>
      <c r="AI11" s="2637"/>
      <c r="AJ11" s="2637"/>
      <c r="AK11" s="2637"/>
      <c r="AL11" s="2637"/>
      <c r="AM11" s="2637" t="s">
        <v>1095</v>
      </c>
      <c r="AN11" s="2637"/>
      <c r="AO11" s="2637"/>
      <c r="AP11" s="2637"/>
      <c r="AQ11" s="2637"/>
      <c r="AR11" s="2637"/>
      <c r="AS11" s="2637"/>
      <c r="AT11" s="2637"/>
      <c r="AU11" s="2637"/>
      <c r="AV11" s="2637"/>
      <c r="AW11" s="2642" t="s">
        <v>1095</v>
      </c>
      <c r="AX11" s="2643"/>
      <c r="AY11" s="2643"/>
      <c r="AZ11" s="2643"/>
      <c r="BA11" s="2643"/>
      <c r="BB11" s="2643"/>
      <c r="BC11" s="2643"/>
      <c r="BD11" s="2643"/>
      <c r="BE11" s="2643"/>
      <c r="BF11" s="2644"/>
      <c r="BG11" s="2642" t="s">
        <v>1095</v>
      </c>
      <c r="BH11" s="2643"/>
      <c r="BI11" s="2643"/>
      <c r="BJ11" s="2643"/>
      <c r="BK11" s="2643"/>
      <c r="BL11" s="2643"/>
      <c r="BM11" s="2643"/>
      <c r="BN11" s="2643"/>
      <c r="BO11" s="2643"/>
      <c r="BP11" s="2644"/>
    </row>
    <row r="12" spans="1:65" ht="15" thickBot="1">
      <c r="A12" s="450"/>
      <c r="B12" s="450"/>
      <c r="C12" s="450"/>
      <c r="D12" s="450"/>
      <c r="E12" s="450"/>
      <c r="F12" s="450"/>
      <c r="G12" s="450"/>
      <c r="H12" s="450"/>
      <c r="I12" s="450"/>
      <c r="J12" s="450"/>
      <c r="K12" s="450"/>
      <c r="L12" s="450"/>
      <c r="M12" s="450"/>
      <c r="N12" s="450"/>
      <c r="O12" s="450"/>
      <c r="P12" s="450"/>
      <c r="Q12" s="450"/>
      <c r="R12" s="450"/>
      <c r="S12" s="450"/>
      <c r="T12" s="450"/>
      <c r="U12" s="450"/>
      <c r="V12" s="450"/>
      <c r="W12" s="450"/>
      <c r="X12" s="450"/>
      <c r="Y12" s="450"/>
      <c r="Z12" s="450"/>
      <c r="AA12" s="450"/>
      <c r="AB12" s="1340"/>
      <c r="AC12" s="1307"/>
      <c r="AD12" s="1506"/>
      <c r="AE12" s="1307"/>
      <c r="AF12" s="1307"/>
      <c r="AG12" s="1340"/>
      <c r="AH12" s="1340"/>
      <c r="AI12" s="1340"/>
      <c r="AJ12" s="1340"/>
      <c r="AK12" s="1340"/>
      <c r="AL12" s="1340"/>
      <c r="AM12" s="13"/>
      <c r="AN12" s="13"/>
      <c r="AO12" s="13"/>
      <c r="AP12" s="13"/>
      <c r="AQ12" s="13"/>
      <c r="AR12" s="13"/>
      <c r="AS12" s="13"/>
      <c r="AT12" s="13"/>
      <c r="AU12" s="13"/>
      <c r="AV12" s="13"/>
      <c r="AW12" s="13"/>
      <c r="AX12" s="13"/>
      <c r="AY12" s="13"/>
      <c r="AZ12" s="13"/>
      <c r="BA12" s="13"/>
      <c r="BB12" s="13"/>
      <c r="BC12" s="13"/>
      <c r="BG12" s="13"/>
      <c r="BH12" s="13"/>
      <c r="BI12" s="13"/>
      <c r="BJ12" s="13"/>
      <c r="BK12" s="13"/>
      <c r="BL12" s="13"/>
      <c r="BM12" s="13"/>
    </row>
    <row r="13" spans="1:68" s="4" customFormat="1" ht="15.75" customHeight="1" thickBot="1">
      <c r="A13" s="2890" t="s">
        <v>935</v>
      </c>
      <c r="B13" s="2891"/>
      <c r="C13" s="2892"/>
      <c r="D13" s="2648" t="s">
        <v>936</v>
      </c>
      <c r="E13" s="2649"/>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51" t="s">
        <v>936</v>
      </c>
      <c r="AC13" s="2651"/>
      <c r="AD13" s="2651"/>
      <c r="AE13" s="2651"/>
      <c r="AF13" s="2651"/>
      <c r="AG13" s="2651"/>
      <c r="AH13" s="2651"/>
      <c r="AI13" s="2651"/>
      <c r="AJ13" s="2651"/>
      <c r="AK13" s="2651"/>
      <c r="AL13" s="2651"/>
      <c r="AM13" s="2651" t="s">
        <v>936</v>
      </c>
      <c r="AN13" s="2651"/>
      <c r="AO13" s="2651"/>
      <c r="AP13" s="2651"/>
      <c r="AQ13" s="2651"/>
      <c r="AR13" s="2651"/>
      <c r="AS13" s="2651"/>
      <c r="AT13" s="2651"/>
      <c r="AU13" s="2651"/>
      <c r="AV13" s="2651"/>
      <c r="AW13" s="2648" t="s">
        <v>936</v>
      </c>
      <c r="AX13" s="2649"/>
      <c r="AY13" s="2649"/>
      <c r="AZ13" s="2649"/>
      <c r="BA13" s="2649"/>
      <c r="BB13" s="2649"/>
      <c r="BC13" s="2649"/>
      <c r="BD13" s="2649"/>
      <c r="BE13" s="2649"/>
      <c r="BF13" s="2650"/>
      <c r="BG13" s="2648" t="s">
        <v>936</v>
      </c>
      <c r="BH13" s="2649"/>
      <c r="BI13" s="2649"/>
      <c r="BJ13" s="2649"/>
      <c r="BK13" s="2649"/>
      <c r="BL13" s="2649"/>
      <c r="BM13" s="2649"/>
      <c r="BN13" s="2649"/>
      <c r="BO13" s="2649"/>
      <c r="BP13" s="2650"/>
    </row>
    <row r="14" spans="1:65" ht="15" thickBot="1">
      <c r="A14" s="450"/>
      <c r="B14" s="450"/>
      <c r="C14" s="450"/>
      <c r="D14" s="450"/>
      <c r="E14" s="450"/>
      <c r="F14" s="450"/>
      <c r="G14" s="450"/>
      <c r="H14" s="450"/>
      <c r="I14" s="450"/>
      <c r="J14" s="450"/>
      <c r="K14" s="186"/>
      <c r="L14" s="186"/>
      <c r="M14" s="450"/>
      <c r="N14" s="450"/>
      <c r="O14" s="450"/>
      <c r="P14" s="450"/>
      <c r="Q14" s="450"/>
      <c r="R14" s="450"/>
      <c r="S14" s="450"/>
      <c r="T14" s="450"/>
      <c r="U14" s="450"/>
      <c r="V14" s="450"/>
      <c r="W14" s="450"/>
      <c r="X14" s="450"/>
      <c r="Y14" s="450"/>
      <c r="Z14" s="186"/>
      <c r="AA14" s="450"/>
      <c r="AB14" s="1340"/>
      <c r="AC14" s="1307"/>
      <c r="AD14" s="1506"/>
      <c r="AE14" s="1307"/>
      <c r="AF14" s="1307"/>
      <c r="AG14" s="1340"/>
      <c r="AH14" s="1340"/>
      <c r="AI14" s="1340"/>
      <c r="AJ14" s="1340"/>
      <c r="AK14" s="1340"/>
      <c r="AL14" s="1340"/>
      <c r="AM14" s="13"/>
      <c r="AN14" s="13"/>
      <c r="AO14" s="13"/>
      <c r="AP14" s="13"/>
      <c r="AQ14" s="13"/>
      <c r="AR14" s="13"/>
      <c r="AS14" s="13"/>
      <c r="AT14" s="13"/>
      <c r="AU14" s="13"/>
      <c r="AV14" s="13"/>
      <c r="AW14" s="13"/>
      <c r="AX14" s="13"/>
      <c r="AY14" s="13"/>
      <c r="AZ14" s="13"/>
      <c r="BA14" s="13"/>
      <c r="BB14" s="13"/>
      <c r="BC14" s="13"/>
      <c r="BG14" s="13"/>
      <c r="BH14" s="13"/>
      <c r="BI14" s="13"/>
      <c r="BJ14" s="13"/>
      <c r="BK14" s="13"/>
      <c r="BL14" s="13"/>
      <c r="BM14" s="13"/>
    </row>
    <row r="15" spans="1:68" s="187" customFormat="1" ht="48.75" thickBot="1">
      <c r="A15" s="1786" t="s">
        <v>11</v>
      </c>
      <c r="B15" s="1786" t="s">
        <v>937</v>
      </c>
      <c r="C15" s="1786" t="s">
        <v>13</v>
      </c>
      <c r="D15" s="1786" t="s">
        <v>14</v>
      </c>
      <c r="E15" s="1786" t="s">
        <v>15</v>
      </c>
      <c r="F15" s="452" t="s">
        <v>16</v>
      </c>
      <c r="G15" s="1786" t="s">
        <v>17</v>
      </c>
      <c r="H15" s="1786" t="s">
        <v>18</v>
      </c>
      <c r="I15" s="1787" t="s">
        <v>19</v>
      </c>
      <c r="J15" s="1786" t="s">
        <v>20</v>
      </c>
      <c r="K15" s="1786" t="s">
        <v>21</v>
      </c>
      <c r="L15" s="1786" t="s">
        <v>22</v>
      </c>
      <c r="M15" s="1786" t="s">
        <v>23</v>
      </c>
      <c r="N15" s="1786" t="s">
        <v>24</v>
      </c>
      <c r="O15" s="1786" t="s">
        <v>25</v>
      </c>
      <c r="P15" s="1786" t="s">
        <v>26</v>
      </c>
      <c r="Q15" s="1786" t="s">
        <v>27</v>
      </c>
      <c r="R15" s="1786" t="s">
        <v>28</v>
      </c>
      <c r="S15" s="1786" t="s">
        <v>29</v>
      </c>
      <c r="T15" s="1786" t="s">
        <v>30</v>
      </c>
      <c r="U15" s="1786" t="s">
        <v>31</v>
      </c>
      <c r="V15" s="1786" t="s">
        <v>32</v>
      </c>
      <c r="W15" s="1786" t="s">
        <v>33</v>
      </c>
      <c r="X15" s="1786" t="s">
        <v>34</v>
      </c>
      <c r="Y15" s="1786" t="s">
        <v>35</v>
      </c>
      <c r="Z15" s="1786" t="s">
        <v>36</v>
      </c>
      <c r="AA15" s="1786" t="s">
        <v>37</v>
      </c>
      <c r="AB15" s="1788" t="s">
        <v>38</v>
      </c>
      <c r="AC15" s="1613" t="s">
        <v>1781</v>
      </c>
      <c r="AD15" s="1615" t="s">
        <v>39</v>
      </c>
      <c r="AE15" s="1616" t="s">
        <v>1821</v>
      </c>
      <c r="AF15" s="1616" t="s">
        <v>1822</v>
      </c>
      <c r="AG15" s="1788" t="s">
        <v>1783</v>
      </c>
      <c r="AH15" s="1788" t="s">
        <v>40</v>
      </c>
      <c r="AI15" s="1788" t="s">
        <v>41</v>
      </c>
      <c r="AJ15" s="1788" t="s">
        <v>42</v>
      </c>
      <c r="AK15" s="1788" t="s">
        <v>43</v>
      </c>
      <c r="AL15" s="1788" t="s">
        <v>44</v>
      </c>
      <c r="AM15" s="1789" t="s">
        <v>45</v>
      </c>
      <c r="AN15" s="1789" t="s">
        <v>1781</v>
      </c>
      <c r="AO15" s="1789" t="s">
        <v>46</v>
      </c>
      <c r="AP15" s="1789" t="s">
        <v>2193</v>
      </c>
      <c r="AQ15" s="1789" t="s">
        <v>1822</v>
      </c>
      <c r="AR15" s="1789" t="s">
        <v>2164</v>
      </c>
      <c r="AS15" s="1789" t="s">
        <v>41</v>
      </c>
      <c r="AT15" s="1789" t="s">
        <v>42</v>
      </c>
      <c r="AU15" s="1789" t="s">
        <v>43</v>
      </c>
      <c r="AV15" s="1789" t="s">
        <v>44</v>
      </c>
      <c r="AW15" s="2065" t="s">
        <v>45</v>
      </c>
      <c r="AX15" s="2065" t="s">
        <v>1781</v>
      </c>
      <c r="AY15" s="2065" t="s">
        <v>46</v>
      </c>
      <c r="AZ15" s="2065" t="s">
        <v>2193</v>
      </c>
      <c r="BA15" s="2065" t="s">
        <v>1822</v>
      </c>
      <c r="BB15" s="2065" t="s">
        <v>2164</v>
      </c>
      <c r="BC15" s="2065" t="s">
        <v>41</v>
      </c>
      <c r="BD15" s="2065" t="s">
        <v>42</v>
      </c>
      <c r="BE15" s="2065" t="s">
        <v>43</v>
      </c>
      <c r="BF15" s="2065" t="s">
        <v>44</v>
      </c>
      <c r="BG15" s="2079" t="s">
        <v>49</v>
      </c>
      <c r="BH15" s="2079" t="s">
        <v>1781</v>
      </c>
      <c r="BI15" s="2079" t="s">
        <v>50</v>
      </c>
      <c r="BJ15" s="2079" t="s">
        <v>2946</v>
      </c>
      <c r="BK15" s="2079" t="s">
        <v>1822</v>
      </c>
      <c r="BL15" s="2079" t="s">
        <v>2947</v>
      </c>
      <c r="BM15" s="2079" t="s">
        <v>41</v>
      </c>
      <c r="BN15" s="2079" t="s">
        <v>42</v>
      </c>
      <c r="BO15" s="2079" t="s">
        <v>43</v>
      </c>
      <c r="BP15" s="2479" t="s">
        <v>44</v>
      </c>
    </row>
    <row r="16" spans="1:68" s="211" customFormat="1" ht="64.5" thickBot="1">
      <c r="A16" s="2895">
        <v>1</v>
      </c>
      <c r="B16" s="2883" t="s">
        <v>938</v>
      </c>
      <c r="C16" s="2893" t="s">
        <v>939</v>
      </c>
      <c r="D16" s="1790" t="s">
        <v>940</v>
      </c>
      <c r="E16" s="1791" t="s">
        <v>941</v>
      </c>
      <c r="F16" s="1792">
        <v>1</v>
      </c>
      <c r="G16" s="1793" t="s">
        <v>942</v>
      </c>
      <c r="H16" s="1919" t="s">
        <v>943</v>
      </c>
      <c r="I16" s="453">
        <v>0.015873015873015872</v>
      </c>
      <c r="J16" s="1793" t="s">
        <v>941</v>
      </c>
      <c r="K16" s="1794">
        <v>42005</v>
      </c>
      <c r="L16" s="1794">
        <v>42369</v>
      </c>
      <c r="M16" s="1795"/>
      <c r="N16" s="1795">
        <v>1</v>
      </c>
      <c r="O16" s="1795"/>
      <c r="P16" s="1795"/>
      <c r="Q16" s="1795"/>
      <c r="R16" s="1795"/>
      <c r="S16" s="1795"/>
      <c r="T16" s="1795"/>
      <c r="U16" s="1795"/>
      <c r="V16" s="1795"/>
      <c r="W16" s="1795"/>
      <c r="X16" s="1795"/>
      <c r="Y16" s="1796">
        <f>+SUM(M16:X16)</f>
        <v>1</v>
      </c>
      <c r="Z16" s="454">
        <v>0</v>
      </c>
      <c r="AA16" s="1790" t="s">
        <v>1090</v>
      </c>
      <c r="AB16" s="1378">
        <f>M16+N16</f>
        <v>1</v>
      </c>
      <c r="AC16" s="1311">
        <f>IF(AB16=0,0%,100%)</f>
        <v>1</v>
      </c>
      <c r="AD16" s="1509">
        <v>1</v>
      </c>
      <c r="AE16" s="1311">
        <f>AD16/AB16</f>
        <v>1</v>
      </c>
      <c r="AF16" s="1311">
        <f>AD16/Y16</f>
        <v>1</v>
      </c>
      <c r="AG16" s="1371">
        <f>AF16</f>
        <v>1</v>
      </c>
      <c r="AH16" s="1371"/>
      <c r="AI16" s="1378">
        <v>0</v>
      </c>
      <c r="AJ16" s="1371" t="e">
        <v>#DIV/0!</v>
      </c>
      <c r="AK16" s="1378" t="s">
        <v>1953</v>
      </c>
      <c r="AL16" s="1378" t="s">
        <v>1954</v>
      </c>
      <c r="AM16" s="1831">
        <f>SUM(M16:P16)</f>
        <v>1</v>
      </c>
      <c r="AN16" s="1699">
        <f>IF(AM16=0,0%,100%)</f>
        <v>1</v>
      </c>
      <c r="AO16" s="1697">
        <v>0</v>
      </c>
      <c r="AP16" s="1699">
        <f>AO16/AM16</f>
        <v>0</v>
      </c>
      <c r="AQ16" s="1699">
        <f>AO16/Y16</f>
        <v>0</v>
      </c>
      <c r="AR16" s="1699">
        <f aca="true" t="shared" si="0" ref="AR16:AR76">IF(AN16&gt;0,AP16,"-")</f>
        <v>0</v>
      </c>
      <c r="AS16" s="1743">
        <v>0</v>
      </c>
      <c r="AT16" s="1699">
        <v>0</v>
      </c>
      <c r="AU16" s="1692" t="s">
        <v>2440</v>
      </c>
      <c r="AV16" s="1692"/>
      <c r="AW16" s="2066">
        <f>SUM(Q16:R16)</f>
        <v>0</v>
      </c>
      <c r="AX16" s="1990">
        <f>IF(AW16=0,0%,100%)</f>
        <v>0</v>
      </c>
      <c r="AY16" s="1989">
        <v>0</v>
      </c>
      <c r="AZ16" s="1990" t="s">
        <v>1090</v>
      </c>
      <c r="BA16" s="1990">
        <f>AY16/Y16</f>
        <v>0</v>
      </c>
      <c r="BB16" s="1990">
        <v>1</v>
      </c>
      <c r="BC16" s="2300">
        <v>0</v>
      </c>
      <c r="BD16" s="1989" t="s">
        <v>1090</v>
      </c>
      <c r="BE16" s="2084" t="s">
        <v>2565</v>
      </c>
      <c r="BF16" s="2084"/>
      <c r="BG16" s="2497">
        <f>SUM(M16:T16)</f>
        <v>1</v>
      </c>
      <c r="BH16" s="2498">
        <f>IF(BG16=0,0%,100%)</f>
        <v>1</v>
      </c>
      <c r="BI16" s="2405">
        <v>1</v>
      </c>
      <c r="BJ16" s="2336">
        <v>1</v>
      </c>
      <c r="BK16" s="2336"/>
      <c r="BL16" s="2336">
        <v>1</v>
      </c>
      <c r="BM16" s="2338"/>
      <c r="BN16" s="2337"/>
      <c r="BO16" s="2339" t="s">
        <v>2565</v>
      </c>
      <c r="BP16" s="2339"/>
    </row>
    <row r="17" spans="1:68" s="455" customFormat="1" ht="142.5" customHeight="1" thickBot="1">
      <c r="A17" s="2896"/>
      <c r="B17" s="2897"/>
      <c r="C17" s="2893"/>
      <c r="D17" s="1790" t="s">
        <v>944</v>
      </c>
      <c r="E17" s="1791" t="s">
        <v>945</v>
      </c>
      <c r="F17" s="1792">
        <v>12</v>
      </c>
      <c r="G17" s="1793" t="s">
        <v>946</v>
      </c>
      <c r="H17" s="1919" t="s">
        <v>943</v>
      </c>
      <c r="I17" s="453">
        <v>0.015873015873015872</v>
      </c>
      <c r="J17" s="1793" t="s">
        <v>154</v>
      </c>
      <c r="K17" s="1794">
        <v>42005</v>
      </c>
      <c r="L17" s="1794">
        <v>42369</v>
      </c>
      <c r="M17" s="1797"/>
      <c r="N17" s="1797">
        <v>1</v>
      </c>
      <c r="O17" s="1797">
        <v>1</v>
      </c>
      <c r="P17" s="1797">
        <v>1</v>
      </c>
      <c r="Q17" s="1797">
        <v>1</v>
      </c>
      <c r="R17" s="1797">
        <v>1</v>
      </c>
      <c r="S17" s="1797">
        <v>1</v>
      </c>
      <c r="T17" s="1797">
        <v>1</v>
      </c>
      <c r="U17" s="1797">
        <v>1</v>
      </c>
      <c r="V17" s="1797">
        <v>1</v>
      </c>
      <c r="W17" s="1797">
        <v>1</v>
      </c>
      <c r="X17" s="1797">
        <v>1</v>
      </c>
      <c r="Y17" s="1796">
        <f aca="true" t="shared" si="1" ref="Y17:Y70">+SUM(M17:X17)</f>
        <v>11</v>
      </c>
      <c r="Z17" s="454">
        <v>0</v>
      </c>
      <c r="AA17" s="1790" t="s">
        <v>1090</v>
      </c>
      <c r="AB17" s="1378">
        <f aca="true" t="shared" si="2" ref="AB17:AB75">M17+N17</f>
        <v>1</v>
      </c>
      <c r="AC17" s="1311">
        <f aca="true" t="shared" si="3" ref="AC17:AC76">IF(AB17=0,0%,100%)</f>
        <v>1</v>
      </c>
      <c r="AD17" s="1509">
        <v>1</v>
      </c>
      <c r="AE17" s="1311">
        <f>AD17/AB17</f>
        <v>1</v>
      </c>
      <c r="AF17" s="1311">
        <f aca="true" t="shared" si="4" ref="AF17:AF74">AD17/Y17</f>
        <v>0.09090909090909091</v>
      </c>
      <c r="AG17" s="1371">
        <f aca="true" t="shared" si="5" ref="AG17:AG76">AF17</f>
        <v>0.09090909090909091</v>
      </c>
      <c r="AH17" s="1371"/>
      <c r="AI17" s="1378"/>
      <c r="AJ17" s="1371" t="e">
        <v>#DIV/0!</v>
      </c>
      <c r="AK17" s="1378" t="s">
        <v>1794</v>
      </c>
      <c r="AL17" s="1378"/>
      <c r="AM17" s="1831">
        <f aca="true" t="shared" si="6" ref="AM17:AM76">SUM(M17:P17)</f>
        <v>3</v>
      </c>
      <c r="AN17" s="1699">
        <f aca="true" t="shared" si="7" ref="AN17:AN76">IF(AM17=0,0%,100%)</f>
        <v>1</v>
      </c>
      <c r="AO17" s="1697">
        <v>1</v>
      </c>
      <c r="AP17" s="1699">
        <f aca="true" t="shared" si="8" ref="AP17:AP76">AO17/AM17</f>
        <v>0.3333333333333333</v>
      </c>
      <c r="AQ17" s="1699">
        <f aca="true" t="shared" si="9" ref="AQ17:AQ74">AO17/Y17</f>
        <v>0.09090909090909091</v>
      </c>
      <c r="AR17" s="1699">
        <f t="shared" si="0"/>
        <v>0.3333333333333333</v>
      </c>
      <c r="AS17" s="1743">
        <v>0</v>
      </c>
      <c r="AT17" s="1699">
        <v>0</v>
      </c>
      <c r="AU17" s="1692" t="s">
        <v>2441</v>
      </c>
      <c r="AV17" s="1692"/>
      <c r="AW17" s="2066">
        <f aca="true" t="shared" si="10" ref="AW17:AW76">SUM(Q17:R17)</f>
        <v>2</v>
      </c>
      <c r="AX17" s="1990">
        <f>IF(AW17=0,0%,100%)</f>
        <v>1</v>
      </c>
      <c r="AY17" s="1989">
        <v>0</v>
      </c>
      <c r="AZ17" s="1990">
        <f aca="true" t="shared" si="11" ref="AZ17:AZ76">AY17/AW17</f>
        <v>0</v>
      </c>
      <c r="BA17" s="1990">
        <f aca="true" t="shared" si="12" ref="BA17:BA76">AY17/Y17</f>
        <v>0</v>
      </c>
      <c r="BB17" s="1990">
        <f>2/11</f>
        <v>0.18181818181818182</v>
      </c>
      <c r="BC17" s="2300">
        <v>0</v>
      </c>
      <c r="BD17" s="1989" t="s">
        <v>1090</v>
      </c>
      <c r="BE17" s="2084" t="s">
        <v>2566</v>
      </c>
      <c r="BF17" s="2084" t="s">
        <v>2567</v>
      </c>
      <c r="BG17" s="2497">
        <f aca="true" t="shared" si="13" ref="BG17:BG76">SUM(M17:T17)</f>
        <v>7</v>
      </c>
      <c r="BH17" s="2498">
        <f aca="true" t="shared" si="14" ref="BH17:BH76">IF(BG17=0,0%,100%)</f>
        <v>1</v>
      </c>
      <c r="BI17" s="2405">
        <v>4</v>
      </c>
      <c r="BJ17" s="2336">
        <f>BI17/BG17</f>
        <v>0.5714285714285714</v>
      </c>
      <c r="BK17" s="2336"/>
      <c r="BL17" s="2336">
        <f>BI17/Y17</f>
        <v>0.36363636363636365</v>
      </c>
      <c r="BM17" s="2338"/>
      <c r="BN17" s="2337"/>
      <c r="BO17" s="2339" t="s">
        <v>3022</v>
      </c>
      <c r="BP17" s="2339" t="s">
        <v>3023</v>
      </c>
    </row>
    <row r="18" spans="1:68" s="455" customFormat="1" ht="84.75" thickBot="1">
      <c r="A18" s="2896"/>
      <c r="B18" s="2897"/>
      <c r="C18" s="2893"/>
      <c r="D18" s="1790" t="s">
        <v>947</v>
      </c>
      <c r="E18" s="1791" t="s">
        <v>948</v>
      </c>
      <c r="F18" s="1792">
        <v>4</v>
      </c>
      <c r="G18" s="1793" t="s">
        <v>1096</v>
      </c>
      <c r="H18" s="1919" t="s">
        <v>943</v>
      </c>
      <c r="I18" s="453">
        <v>0.015873015873015872</v>
      </c>
      <c r="J18" s="1793" t="s">
        <v>949</v>
      </c>
      <c r="K18" s="1794">
        <v>42005</v>
      </c>
      <c r="L18" s="1794">
        <v>42369</v>
      </c>
      <c r="M18" s="1797"/>
      <c r="N18" s="1797"/>
      <c r="O18" s="1797">
        <v>1</v>
      </c>
      <c r="P18" s="1797"/>
      <c r="Q18" s="1797"/>
      <c r="R18" s="1797">
        <v>1</v>
      </c>
      <c r="S18" s="1797"/>
      <c r="T18" s="1797"/>
      <c r="U18" s="1797">
        <v>1</v>
      </c>
      <c r="V18" s="1797"/>
      <c r="W18" s="1797"/>
      <c r="X18" s="1797">
        <v>1</v>
      </c>
      <c r="Y18" s="1796">
        <f t="shared" si="1"/>
        <v>4</v>
      </c>
      <c r="Z18" s="454">
        <v>0</v>
      </c>
      <c r="AA18" s="1790" t="s">
        <v>1090</v>
      </c>
      <c r="AB18" s="1378">
        <f t="shared" si="2"/>
        <v>0</v>
      </c>
      <c r="AC18" s="1311">
        <f t="shared" si="3"/>
        <v>0</v>
      </c>
      <c r="AD18" s="1509">
        <v>0</v>
      </c>
      <c r="AE18" s="1311" t="s">
        <v>1090</v>
      </c>
      <c r="AF18" s="1311">
        <f t="shared" si="4"/>
        <v>0</v>
      </c>
      <c r="AG18" s="1371">
        <f t="shared" si="5"/>
        <v>0</v>
      </c>
      <c r="AH18" s="1371">
        <v>0</v>
      </c>
      <c r="AI18" s="1378"/>
      <c r="AJ18" s="1371" t="e">
        <v>#DIV/0!</v>
      </c>
      <c r="AK18" s="1378"/>
      <c r="AL18" s="1378"/>
      <c r="AM18" s="1831">
        <f t="shared" si="6"/>
        <v>1</v>
      </c>
      <c r="AN18" s="1699">
        <f t="shared" si="7"/>
        <v>1</v>
      </c>
      <c r="AO18" s="1697">
        <v>0</v>
      </c>
      <c r="AP18" s="1699">
        <f t="shared" si="8"/>
        <v>0</v>
      </c>
      <c r="AQ18" s="1699">
        <f t="shared" si="9"/>
        <v>0</v>
      </c>
      <c r="AR18" s="1699">
        <f t="shared" si="0"/>
        <v>0</v>
      </c>
      <c r="AS18" s="1743">
        <v>0</v>
      </c>
      <c r="AT18" s="1699">
        <v>0</v>
      </c>
      <c r="AU18" s="1692" t="s">
        <v>2442</v>
      </c>
      <c r="AV18" s="1692"/>
      <c r="AW18" s="2066">
        <f t="shared" si="10"/>
        <v>1</v>
      </c>
      <c r="AX18" s="1990">
        <f aca="true" t="shared" si="15" ref="AX18:AX76">IF(AW18=0,0%,100%)</f>
        <v>1</v>
      </c>
      <c r="AY18" s="1989">
        <v>0</v>
      </c>
      <c r="AZ18" s="1990">
        <f t="shared" si="11"/>
        <v>0</v>
      </c>
      <c r="BA18" s="1990">
        <f t="shared" si="12"/>
        <v>0</v>
      </c>
      <c r="BB18" s="1990">
        <v>0</v>
      </c>
      <c r="BC18" s="2300">
        <v>0</v>
      </c>
      <c r="BD18" s="1989" t="s">
        <v>1090</v>
      </c>
      <c r="BE18" s="2084"/>
      <c r="BF18" s="2084" t="s">
        <v>2568</v>
      </c>
      <c r="BG18" s="2497">
        <f t="shared" si="13"/>
        <v>2</v>
      </c>
      <c r="BH18" s="2498">
        <f t="shared" si="14"/>
        <v>1</v>
      </c>
      <c r="BI18" s="2405">
        <v>0</v>
      </c>
      <c r="BJ18" s="2336">
        <v>0</v>
      </c>
      <c r="BK18" s="2336"/>
      <c r="BL18" s="2336">
        <v>0</v>
      </c>
      <c r="BM18" s="2338"/>
      <c r="BN18" s="2337"/>
      <c r="BO18" s="2339"/>
      <c r="BP18" s="2339" t="s">
        <v>3024</v>
      </c>
    </row>
    <row r="19" spans="1:68" s="455" customFormat="1" ht="40.5" customHeight="1" thickBot="1">
      <c r="A19" s="2896"/>
      <c r="B19" s="2897"/>
      <c r="C19" s="2893"/>
      <c r="D19" s="1790" t="s">
        <v>950</v>
      </c>
      <c r="E19" s="1791" t="s">
        <v>951</v>
      </c>
      <c r="F19" s="1792">
        <v>1</v>
      </c>
      <c r="G19" s="1793" t="s">
        <v>952</v>
      </c>
      <c r="H19" s="1919" t="s">
        <v>943</v>
      </c>
      <c r="I19" s="453">
        <v>0.015873015873015872</v>
      </c>
      <c r="J19" s="1793" t="s">
        <v>953</v>
      </c>
      <c r="K19" s="1794">
        <v>42005</v>
      </c>
      <c r="L19" s="1794">
        <v>42369</v>
      </c>
      <c r="M19" s="1797"/>
      <c r="N19" s="1797">
        <v>1</v>
      </c>
      <c r="O19" s="1797"/>
      <c r="P19" s="1797"/>
      <c r="Q19" s="1797"/>
      <c r="R19" s="1797"/>
      <c r="S19" s="1797"/>
      <c r="T19" s="1797"/>
      <c r="U19" s="1797"/>
      <c r="V19" s="1797"/>
      <c r="W19" s="1797"/>
      <c r="X19" s="1797"/>
      <c r="Y19" s="1796">
        <f t="shared" si="1"/>
        <v>1</v>
      </c>
      <c r="Z19" s="454">
        <v>0</v>
      </c>
      <c r="AA19" s="1790" t="s">
        <v>1090</v>
      </c>
      <c r="AB19" s="1378">
        <f t="shared" si="2"/>
        <v>1</v>
      </c>
      <c r="AC19" s="1311">
        <f t="shared" si="3"/>
        <v>1</v>
      </c>
      <c r="AD19" s="1509">
        <v>2</v>
      </c>
      <c r="AE19" s="1311">
        <f>AD19/AB19</f>
        <v>2</v>
      </c>
      <c r="AF19" s="1311">
        <f t="shared" si="4"/>
        <v>2</v>
      </c>
      <c r="AG19" s="1371">
        <f t="shared" si="5"/>
        <v>2</v>
      </c>
      <c r="AH19" s="1371"/>
      <c r="AI19" s="1378"/>
      <c r="AJ19" s="1371" t="e">
        <v>#DIV/0!</v>
      </c>
      <c r="AK19" s="1378" t="s">
        <v>1795</v>
      </c>
      <c r="AL19" s="1378"/>
      <c r="AM19" s="1831">
        <f t="shared" si="6"/>
        <v>1</v>
      </c>
      <c r="AN19" s="1699">
        <f t="shared" si="7"/>
        <v>1</v>
      </c>
      <c r="AO19" s="1697">
        <v>0</v>
      </c>
      <c r="AP19" s="1699">
        <f t="shared" si="8"/>
        <v>0</v>
      </c>
      <c r="AQ19" s="1699">
        <f t="shared" si="9"/>
        <v>0</v>
      </c>
      <c r="AR19" s="1699">
        <f t="shared" si="0"/>
        <v>0</v>
      </c>
      <c r="AS19" s="1743">
        <v>0</v>
      </c>
      <c r="AT19" s="1699">
        <v>0</v>
      </c>
      <c r="AU19" s="1692"/>
      <c r="AV19" s="1692"/>
      <c r="AW19" s="2066">
        <f t="shared" si="10"/>
        <v>0</v>
      </c>
      <c r="AX19" s="1990">
        <f t="shared" si="15"/>
        <v>0</v>
      </c>
      <c r="AY19" s="1989">
        <v>0</v>
      </c>
      <c r="AZ19" s="1990" t="s">
        <v>1090</v>
      </c>
      <c r="BA19" s="1990">
        <f t="shared" si="12"/>
        <v>0</v>
      </c>
      <c r="BB19" s="1990">
        <v>1</v>
      </c>
      <c r="BC19" s="2300">
        <v>0</v>
      </c>
      <c r="BD19" s="1989" t="s">
        <v>1090</v>
      </c>
      <c r="BE19" s="2084" t="s">
        <v>2569</v>
      </c>
      <c r="BF19" s="2084"/>
      <c r="BG19" s="2497">
        <f t="shared" si="13"/>
        <v>1</v>
      </c>
      <c r="BH19" s="2498">
        <f t="shared" si="14"/>
        <v>1</v>
      </c>
      <c r="BI19" s="2405">
        <v>1</v>
      </c>
      <c r="BJ19" s="2336">
        <v>1</v>
      </c>
      <c r="BK19" s="2336"/>
      <c r="BL19" s="2336">
        <v>1</v>
      </c>
      <c r="BM19" s="2338"/>
      <c r="BN19" s="2337"/>
      <c r="BO19" s="2339" t="s">
        <v>3025</v>
      </c>
      <c r="BP19" s="2339"/>
    </row>
    <row r="20" spans="1:68" s="455" customFormat="1" ht="51.75" thickBot="1">
      <c r="A20" s="2896"/>
      <c r="B20" s="2897"/>
      <c r="C20" s="2893" t="s">
        <v>954</v>
      </c>
      <c r="D20" s="1790" t="s">
        <v>955</v>
      </c>
      <c r="E20" s="1791" t="s">
        <v>956</v>
      </c>
      <c r="F20" s="1792">
        <v>1</v>
      </c>
      <c r="G20" s="1793" t="s">
        <v>957</v>
      </c>
      <c r="H20" s="1798" t="s">
        <v>1829</v>
      </c>
      <c r="I20" s="453">
        <v>0.015873015873015872</v>
      </c>
      <c r="J20" s="1793" t="s">
        <v>958</v>
      </c>
      <c r="K20" s="1794">
        <v>42005</v>
      </c>
      <c r="L20" s="1794">
        <v>42369</v>
      </c>
      <c r="M20" s="1797"/>
      <c r="N20" s="1797"/>
      <c r="O20" s="1797">
        <v>1</v>
      </c>
      <c r="P20" s="1797"/>
      <c r="Q20" s="1797"/>
      <c r="R20" s="1797"/>
      <c r="S20" s="1797"/>
      <c r="T20" s="1797"/>
      <c r="U20" s="1797"/>
      <c r="V20" s="1797"/>
      <c r="W20" s="1797"/>
      <c r="X20" s="1797"/>
      <c r="Y20" s="1796">
        <f t="shared" si="1"/>
        <v>1</v>
      </c>
      <c r="Z20" s="454">
        <v>0</v>
      </c>
      <c r="AA20" s="1790" t="s">
        <v>1090</v>
      </c>
      <c r="AB20" s="1378">
        <f t="shared" si="2"/>
        <v>0</v>
      </c>
      <c r="AC20" s="1311">
        <f t="shared" si="3"/>
        <v>0</v>
      </c>
      <c r="AD20" s="1509">
        <v>0</v>
      </c>
      <c r="AE20" s="1311" t="s">
        <v>1090</v>
      </c>
      <c r="AF20" s="1311">
        <f t="shared" si="4"/>
        <v>0</v>
      </c>
      <c r="AG20" s="1371">
        <f t="shared" si="5"/>
        <v>0</v>
      </c>
      <c r="AH20" s="1371">
        <v>0</v>
      </c>
      <c r="AI20" s="1378">
        <v>0</v>
      </c>
      <c r="AJ20" s="1371" t="e">
        <v>#DIV/0!</v>
      </c>
      <c r="AK20" s="1378"/>
      <c r="AL20" s="1378"/>
      <c r="AM20" s="1831">
        <f t="shared" si="6"/>
        <v>1</v>
      </c>
      <c r="AN20" s="1699">
        <f t="shared" si="7"/>
        <v>1</v>
      </c>
      <c r="AO20" s="1697">
        <v>0</v>
      </c>
      <c r="AP20" s="1699">
        <f t="shared" si="8"/>
        <v>0</v>
      </c>
      <c r="AQ20" s="1699">
        <f t="shared" si="9"/>
        <v>0</v>
      </c>
      <c r="AR20" s="1699">
        <f t="shared" si="0"/>
        <v>0</v>
      </c>
      <c r="AS20" s="1743">
        <v>0</v>
      </c>
      <c r="AT20" s="1699">
        <v>0</v>
      </c>
      <c r="AU20" s="1692" t="s">
        <v>2300</v>
      </c>
      <c r="AV20" s="1692"/>
      <c r="AW20" s="2066">
        <f t="shared" si="10"/>
        <v>0</v>
      </c>
      <c r="AX20" s="1990">
        <f t="shared" si="15"/>
        <v>0</v>
      </c>
      <c r="AY20" s="1989">
        <v>0</v>
      </c>
      <c r="AZ20" s="1990" t="s">
        <v>1090</v>
      </c>
      <c r="BA20" s="1990">
        <f t="shared" si="12"/>
        <v>0</v>
      </c>
      <c r="BB20" s="1990">
        <v>0</v>
      </c>
      <c r="BC20" s="2300">
        <v>0</v>
      </c>
      <c r="BD20" s="1989" t="s">
        <v>1090</v>
      </c>
      <c r="BE20" s="2084"/>
      <c r="BF20" s="2084"/>
      <c r="BG20" s="2497">
        <f t="shared" si="13"/>
        <v>1</v>
      </c>
      <c r="BH20" s="2498">
        <f t="shared" si="14"/>
        <v>1</v>
      </c>
      <c r="BI20" s="2405">
        <v>1</v>
      </c>
      <c r="BJ20" s="2336">
        <v>1</v>
      </c>
      <c r="BK20" s="2336"/>
      <c r="BL20" s="2336">
        <v>1</v>
      </c>
      <c r="BM20" s="2338"/>
      <c r="BN20" s="2337"/>
      <c r="BO20" s="2339"/>
      <c r="BP20" s="2339"/>
    </row>
    <row r="21" spans="1:68" s="455" customFormat="1" ht="64.5" thickBot="1">
      <c r="A21" s="2896"/>
      <c r="B21" s="2897"/>
      <c r="C21" s="2893"/>
      <c r="D21" s="1790" t="s">
        <v>959</v>
      </c>
      <c r="E21" s="1791" t="s">
        <v>960</v>
      </c>
      <c r="F21" s="1792">
        <v>14</v>
      </c>
      <c r="G21" s="1793" t="s">
        <v>961</v>
      </c>
      <c r="H21" s="1798" t="s">
        <v>1829</v>
      </c>
      <c r="I21" s="453">
        <v>0.015873015873015872</v>
      </c>
      <c r="J21" s="1793" t="s">
        <v>962</v>
      </c>
      <c r="K21" s="1794">
        <v>42005</v>
      </c>
      <c r="L21" s="1794">
        <v>42369</v>
      </c>
      <c r="M21" s="1797">
        <v>1</v>
      </c>
      <c r="N21" s="1797">
        <v>1</v>
      </c>
      <c r="O21" s="1797">
        <v>1</v>
      </c>
      <c r="P21" s="1797">
        <v>1</v>
      </c>
      <c r="Q21" s="1797">
        <v>1</v>
      </c>
      <c r="R21" s="1797">
        <v>2</v>
      </c>
      <c r="S21" s="1797">
        <v>1</v>
      </c>
      <c r="T21" s="1797">
        <v>1</v>
      </c>
      <c r="U21" s="1797">
        <v>1</v>
      </c>
      <c r="V21" s="1797">
        <v>1</v>
      </c>
      <c r="W21" s="1797">
        <v>1</v>
      </c>
      <c r="X21" s="1797">
        <v>2</v>
      </c>
      <c r="Y21" s="1796">
        <f t="shared" si="1"/>
        <v>14</v>
      </c>
      <c r="Z21" s="454">
        <v>0</v>
      </c>
      <c r="AA21" s="1790" t="s">
        <v>1090</v>
      </c>
      <c r="AB21" s="1378">
        <f t="shared" si="2"/>
        <v>2</v>
      </c>
      <c r="AC21" s="1311">
        <f t="shared" si="3"/>
        <v>1</v>
      </c>
      <c r="AD21" s="1509">
        <v>2</v>
      </c>
      <c r="AE21" s="1311">
        <f aca="true" t="shared" si="16" ref="AE21:AE74">AD21/AB21</f>
        <v>1</v>
      </c>
      <c r="AF21" s="1311">
        <f t="shared" si="4"/>
        <v>0.14285714285714285</v>
      </c>
      <c r="AG21" s="1371">
        <f t="shared" si="5"/>
        <v>0.14285714285714285</v>
      </c>
      <c r="AH21" s="1371">
        <v>14.285714285714286</v>
      </c>
      <c r="AI21" s="1378"/>
      <c r="AJ21" s="1371" t="e">
        <v>#DIV/0!</v>
      </c>
      <c r="AK21" s="1378" t="s">
        <v>1955</v>
      </c>
      <c r="AL21" s="1378"/>
      <c r="AM21" s="1831">
        <f t="shared" si="6"/>
        <v>4</v>
      </c>
      <c r="AN21" s="1699">
        <f t="shared" si="7"/>
        <v>1</v>
      </c>
      <c r="AO21" s="1697">
        <v>1</v>
      </c>
      <c r="AP21" s="1699">
        <f t="shared" si="8"/>
        <v>0.25</v>
      </c>
      <c r="AQ21" s="1699">
        <f t="shared" si="9"/>
        <v>0.07142857142857142</v>
      </c>
      <c r="AR21" s="1699">
        <f t="shared" si="0"/>
        <v>0.25</v>
      </c>
      <c r="AS21" s="1743">
        <v>0</v>
      </c>
      <c r="AT21" s="1699">
        <v>0</v>
      </c>
      <c r="AU21" s="1692" t="s">
        <v>2301</v>
      </c>
      <c r="AV21" s="1692"/>
      <c r="AW21" s="2066">
        <f t="shared" si="10"/>
        <v>3</v>
      </c>
      <c r="AX21" s="1990">
        <f t="shared" si="15"/>
        <v>1</v>
      </c>
      <c r="AY21" s="1989">
        <v>3</v>
      </c>
      <c r="AZ21" s="1990">
        <f t="shared" si="11"/>
        <v>1</v>
      </c>
      <c r="BA21" s="1990">
        <f t="shared" si="12"/>
        <v>0.21428571428571427</v>
      </c>
      <c r="BB21" s="1990">
        <f>6/14</f>
        <v>0.42857142857142855</v>
      </c>
      <c r="BC21" s="2300">
        <v>0</v>
      </c>
      <c r="BD21" s="1989" t="s">
        <v>1090</v>
      </c>
      <c r="BE21" s="2084"/>
      <c r="BF21" s="2084"/>
      <c r="BG21" s="2497">
        <f t="shared" si="13"/>
        <v>9</v>
      </c>
      <c r="BH21" s="2498">
        <f t="shared" si="14"/>
        <v>1</v>
      </c>
      <c r="BI21" s="2405">
        <v>9</v>
      </c>
      <c r="BJ21" s="2336">
        <v>1</v>
      </c>
      <c r="BK21" s="2336"/>
      <c r="BL21" s="2336">
        <f>BI21/Y21</f>
        <v>0.6428571428571429</v>
      </c>
      <c r="BM21" s="2338"/>
      <c r="BN21" s="2337"/>
      <c r="BO21" s="2339"/>
      <c r="BP21" s="2339"/>
    </row>
    <row r="22" spans="1:68" s="455" customFormat="1" ht="83.25" thickBot="1">
      <c r="A22" s="2896"/>
      <c r="B22" s="2897"/>
      <c r="C22" s="2893"/>
      <c r="D22" s="1790" t="s">
        <v>963</v>
      </c>
      <c r="E22" s="1791" t="s">
        <v>964</v>
      </c>
      <c r="F22" s="1792">
        <v>12</v>
      </c>
      <c r="G22" s="1793" t="s">
        <v>965</v>
      </c>
      <c r="H22" s="1798" t="s">
        <v>1829</v>
      </c>
      <c r="I22" s="453">
        <v>0.015873015873015872</v>
      </c>
      <c r="J22" s="1793" t="s">
        <v>966</v>
      </c>
      <c r="K22" s="1794">
        <v>42005</v>
      </c>
      <c r="L22" s="1794">
        <v>42369</v>
      </c>
      <c r="M22" s="1797">
        <v>1</v>
      </c>
      <c r="N22" s="1797">
        <v>1</v>
      </c>
      <c r="O22" s="1797">
        <v>1</v>
      </c>
      <c r="P22" s="1797">
        <v>1</v>
      </c>
      <c r="Q22" s="1797">
        <v>1</v>
      </c>
      <c r="R22" s="1797">
        <v>1</v>
      </c>
      <c r="S22" s="1797">
        <v>1</v>
      </c>
      <c r="T22" s="1797">
        <v>1</v>
      </c>
      <c r="U22" s="1797">
        <v>1</v>
      </c>
      <c r="V22" s="1797">
        <v>1</v>
      </c>
      <c r="W22" s="1797">
        <v>1</v>
      </c>
      <c r="X22" s="1797">
        <v>1</v>
      </c>
      <c r="Y22" s="1796">
        <f t="shared" si="1"/>
        <v>12</v>
      </c>
      <c r="Z22" s="454">
        <v>0</v>
      </c>
      <c r="AA22" s="1790" t="s">
        <v>1090</v>
      </c>
      <c r="AB22" s="1378">
        <f t="shared" si="2"/>
        <v>2</v>
      </c>
      <c r="AC22" s="1311">
        <f t="shared" si="3"/>
        <v>1</v>
      </c>
      <c r="AD22" s="1509">
        <v>2</v>
      </c>
      <c r="AE22" s="1311">
        <f t="shared" si="16"/>
        <v>1</v>
      </c>
      <c r="AF22" s="1311">
        <f t="shared" si="4"/>
        <v>0.16666666666666666</v>
      </c>
      <c r="AG22" s="1371">
        <f t="shared" si="5"/>
        <v>0.16666666666666666</v>
      </c>
      <c r="AH22" s="1371">
        <v>16.666666666666668</v>
      </c>
      <c r="AI22" s="1378">
        <v>0</v>
      </c>
      <c r="AJ22" s="1371" t="e">
        <v>#DIV/0!</v>
      </c>
      <c r="AK22" s="1378" t="s">
        <v>1956</v>
      </c>
      <c r="AL22" s="1378"/>
      <c r="AM22" s="1831">
        <f t="shared" si="6"/>
        <v>4</v>
      </c>
      <c r="AN22" s="1699">
        <f t="shared" si="7"/>
        <v>1</v>
      </c>
      <c r="AO22" s="1697">
        <v>2</v>
      </c>
      <c r="AP22" s="1699">
        <f t="shared" si="8"/>
        <v>0.5</v>
      </c>
      <c r="AQ22" s="1699">
        <f t="shared" si="9"/>
        <v>0.16666666666666666</v>
      </c>
      <c r="AR22" s="1699">
        <f t="shared" si="0"/>
        <v>0.5</v>
      </c>
      <c r="AS22" s="1743">
        <v>0</v>
      </c>
      <c r="AT22" s="1699">
        <v>0</v>
      </c>
      <c r="AU22" s="1692" t="s">
        <v>2302</v>
      </c>
      <c r="AV22" s="1692"/>
      <c r="AW22" s="2066">
        <f t="shared" si="10"/>
        <v>2</v>
      </c>
      <c r="AX22" s="1990">
        <f t="shared" si="15"/>
        <v>1</v>
      </c>
      <c r="AY22" s="1989">
        <v>2</v>
      </c>
      <c r="AZ22" s="1990">
        <f t="shared" si="11"/>
        <v>1</v>
      </c>
      <c r="BA22" s="1990">
        <f t="shared" si="12"/>
        <v>0.16666666666666666</v>
      </c>
      <c r="BB22" s="1990">
        <v>0.5</v>
      </c>
      <c r="BC22" s="2300">
        <v>0</v>
      </c>
      <c r="BD22" s="1989" t="s">
        <v>1090</v>
      </c>
      <c r="BE22" s="2084"/>
      <c r="BF22" s="2084"/>
      <c r="BG22" s="2497">
        <f t="shared" si="13"/>
        <v>8</v>
      </c>
      <c r="BH22" s="2498">
        <f t="shared" si="14"/>
        <v>1</v>
      </c>
      <c r="BI22" s="2405">
        <v>8</v>
      </c>
      <c r="BJ22" s="2336">
        <v>1</v>
      </c>
      <c r="BK22" s="2336"/>
      <c r="BL22" s="2336">
        <f>BI22/Y22</f>
        <v>0.6666666666666666</v>
      </c>
      <c r="BM22" s="2338"/>
      <c r="BN22" s="2337"/>
      <c r="BO22" s="2339"/>
      <c r="BP22" s="2339"/>
    </row>
    <row r="23" spans="1:68" s="455" customFormat="1" ht="39" thickBot="1">
      <c r="A23" s="2896"/>
      <c r="B23" s="2897"/>
      <c r="C23" s="2893"/>
      <c r="D23" s="1790" t="s">
        <v>967</v>
      </c>
      <c r="E23" s="1791" t="s">
        <v>968</v>
      </c>
      <c r="F23" s="1792">
        <v>1</v>
      </c>
      <c r="G23" s="1793" t="s">
        <v>969</v>
      </c>
      <c r="H23" s="1798" t="s">
        <v>1829</v>
      </c>
      <c r="I23" s="453">
        <v>0.015873015873015872</v>
      </c>
      <c r="J23" s="1793" t="s">
        <v>968</v>
      </c>
      <c r="K23" s="1794">
        <v>42005</v>
      </c>
      <c r="L23" s="1794">
        <v>42369</v>
      </c>
      <c r="M23" s="1797"/>
      <c r="N23" s="1797"/>
      <c r="O23" s="1797"/>
      <c r="P23" s="1797"/>
      <c r="Q23" s="1797"/>
      <c r="R23" s="1797"/>
      <c r="S23" s="1797"/>
      <c r="T23" s="1797"/>
      <c r="U23" s="1797"/>
      <c r="V23" s="1797"/>
      <c r="W23" s="1797">
        <v>1</v>
      </c>
      <c r="X23" s="1797"/>
      <c r="Y23" s="1796">
        <v>1</v>
      </c>
      <c r="Z23" s="454">
        <v>0</v>
      </c>
      <c r="AA23" s="1790" t="s">
        <v>1090</v>
      </c>
      <c r="AB23" s="1378">
        <f t="shared" si="2"/>
        <v>0</v>
      </c>
      <c r="AC23" s="1311">
        <f t="shared" si="3"/>
        <v>0</v>
      </c>
      <c r="AD23" s="1509">
        <v>0</v>
      </c>
      <c r="AE23" s="1311" t="s">
        <v>1090</v>
      </c>
      <c r="AF23" s="1311">
        <f t="shared" si="4"/>
        <v>0</v>
      </c>
      <c r="AG23" s="1371">
        <v>0</v>
      </c>
      <c r="AH23" s="1371">
        <v>0</v>
      </c>
      <c r="AI23" s="1378">
        <v>0</v>
      </c>
      <c r="AJ23" s="1371" t="e">
        <v>#DIV/0!</v>
      </c>
      <c r="AK23" s="1378"/>
      <c r="AL23" s="1378"/>
      <c r="AM23" s="1831">
        <f t="shared" si="6"/>
        <v>0</v>
      </c>
      <c r="AN23" s="1699">
        <f t="shared" si="7"/>
        <v>0</v>
      </c>
      <c r="AO23" s="1697">
        <v>0</v>
      </c>
      <c r="AP23" s="1699" t="s">
        <v>1090</v>
      </c>
      <c r="AQ23" s="1699">
        <f t="shared" si="9"/>
        <v>0</v>
      </c>
      <c r="AR23" s="1699">
        <v>0</v>
      </c>
      <c r="AS23" s="1743">
        <v>0</v>
      </c>
      <c r="AT23" s="1699">
        <v>0</v>
      </c>
      <c r="AU23" s="1692"/>
      <c r="AV23" s="1692"/>
      <c r="AW23" s="2066">
        <f t="shared" si="10"/>
        <v>0</v>
      </c>
      <c r="AX23" s="1990">
        <f t="shared" si="15"/>
        <v>0</v>
      </c>
      <c r="AY23" s="1989">
        <v>0</v>
      </c>
      <c r="AZ23" s="1990" t="s">
        <v>1090</v>
      </c>
      <c r="BA23" s="1990">
        <f t="shared" si="12"/>
        <v>0</v>
      </c>
      <c r="BB23" s="1990">
        <v>0</v>
      </c>
      <c r="BC23" s="2300">
        <v>0</v>
      </c>
      <c r="BD23" s="1989" t="s">
        <v>1090</v>
      </c>
      <c r="BE23" s="2084"/>
      <c r="BF23" s="2084"/>
      <c r="BG23" s="2497">
        <f t="shared" si="13"/>
        <v>0</v>
      </c>
      <c r="BH23" s="2498">
        <f t="shared" si="14"/>
        <v>0</v>
      </c>
      <c r="BI23" s="2405">
        <v>0</v>
      </c>
      <c r="BJ23" s="2336" t="s">
        <v>1090</v>
      </c>
      <c r="BK23" s="2336"/>
      <c r="BL23" s="2336">
        <v>0</v>
      </c>
      <c r="BM23" s="2338"/>
      <c r="BN23" s="2337"/>
      <c r="BO23" s="2339"/>
      <c r="BP23" s="2339"/>
    </row>
    <row r="24" spans="1:68" s="455" customFormat="1" ht="87.75" customHeight="1" thickBot="1">
      <c r="A24" s="2896"/>
      <c r="B24" s="2897"/>
      <c r="C24" s="2893"/>
      <c r="D24" s="1799" t="s">
        <v>970</v>
      </c>
      <c r="E24" s="1791" t="s">
        <v>971</v>
      </c>
      <c r="F24" s="1792">
        <v>12</v>
      </c>
      <c r="G24" s="1793" t="s">
        <v>972</v>
      </c>
      <c r="H24" s="1798" t="s">
        <v>1830</v>
      </c>
      <c r="I24" s="453">
        <v>0.015873015873015872</v>
      </c>
      <c r="J24" s="1793" t="s">
        <v>948</v>
      </c>
      <c r="K24" s="1794">
        <v>42005</v>
      </c>
      <c r="L24" s="1794">
        <v>42369</v>
      </c>
      <c r="M24" s="1797">
        <v>1</v>
      </c>
      <c r="N24" s="1797">
        <v>1</v>
      </c>
      <c r="O24" s="1797">
        <v>1</v>
      </c>
      <c r="P24" s="1797">
        <v>1</v>
      </c>
      <c r="Q24" s="1797">
        <v>1</v>
      </c>
      <c r="R24" s="1797">
        <v>1</v>
      </c>
      <c r="S24" s="1797">
        <v>1</v>
      </c>
      <c r="T24" s="1797">
        <v>1</v>
      </c>
      <c r="U24" s="1797">
        <v>1</v>
      </c>
      <c r="V24" s="1797">
        <v>1</v>
      </c>
      <c r="W24" s="1797">
        <v>1</v>
      </c>
      <c r="X24" s="1797">
        <v>1</v>
      </c>
      <c r="Y24" s="1796">
        <f t="shared" si="1"/>
        <v>12</v>
      </c>
      <c r="Z24" s="454">
        <v>0</v>
      </c>
      <c r="AA24" s="1790" t="s">
        <v>1090</v>
      </c>
      <c r="AB24" s="1378">
        <f t="shared" si="2"/>
        <v>2</v>
      </c>
      <c r="AC24" s="1311">
        <f t="shared" si="3"/>
        <v>1</v>
      </c>
      <c r="AD24" s="1509">
        <v>2</v>
      </c>
      <c r="AE24" s="1311">
        <f t="shared" si="16"/>
        <v>1</v>
      </c>
      <c r="AF24" s="1311">
        <f t="shared" si="4"/>
        <v>0.16666666666666666</v>
      </c>
      <c r="AG24" s="1371">
        <f t="shared" si="5"/>
        <v>0.16666666666666666</v>
      </c>
      <c r="AH24" s="1371">
        <v>16.666666666666668</v>
      </c>
      <c r="AI24" s="1378">
        <v>0</v>
      </c>
      <c r="AJ24" s="1371" t="e">
        <v>#DIV/0!</v>
      </c>
      <c r="AK24" s="1378" t="s">
        <v>1796</v>
      </c>
      <c r="AL24" s="1378"/>
      <c r="AM24" s="1831">
        <f t="shared" si="6"/>
        <v>4</v>
      </c>
      <c r="AN24" s="1699">
        <f t="shared" si="7"/>
        <v>1</v>
      </c>
      <c r="AO24" s="1697">
        <v>2</v>
      </c>
      <c r="AP24" s="1699">
        <f t="shared" si="8"/>
        <v>0.5</v>
      </c>
      <c r="AQ24" s="1699">
        <f t="shared" si="9"/>
        <v>0.16666666666666666</v>
      </c>
      <c r="AR24" s="1699">
        <f t="shared" si="0"/>
        <v>0.5</v>
      </c>
      <c r="AS24" s="1743">
        <v>0</v>
      </c>
      <c r="AT24" s="1699">
        <v>0</v>
      </c>
      <c r="AU24" s="1692" t="s">
        <v>2303</v>
      </c>
      <c r="AV24" s="1692"/>
      <c r="AW24" s="2066">
        <f t="shared" si="10"/>
        <v>2</v>
      </c>
      <c r="AX24" s="1990">
        <f t="shared" si="15"/>
        <v>1</v>
      </c>
      <c r="AY24" s="1989">
        <v>2</v>
      </c>
      <c r="AZ24" s="1990">
        <f t="shared" si="11"/>
        <v>1</v>
      </c>
      <c r="BA24" s="1990">
        <f t="shared" si="12"/>
        <v>0.16666666666666666</v>
      </c>
      <c r="BB24" s="1990">
        <v>0.5</v>
      </c>
      <c r="BC24" s="2300">
        <v>0</v>
      </c>
      <c r="BD24" s="1989" t="s">
        <v>1090</v>
      </c>
      <c r="BE24" s="2084">
        <v>193</v>
      </c>
      <c r="BF24" s="2084" t="s">
        <v>2570</v>
      </c>
      <c r="BG24" s="2497">
        <f t="shared" si="13"/>
        <v>8</v>
      </c>
      <c r="BH24" s="2498">
        <f t="shared" si="14"/>
        <v>1</v>
      </c>
      <c r="BI24" s="2405">
        <v>8</v>
      </c>
      <c r="BJ24" s="2336">
        <f>BI24/BG24</f>
        <v>1</v>
      </c>
      <c r="BK24" s="2336"/>
      <c r="BL24" s="2336">
        <f>BI24/Y24</f>
        <v>0.6666666666666666</v>
      </c>
      <c r="BM24" s="2338"/>
      <c r="BN24" s="2337"/>
      <c r="BO24" s="2339" t="s">
        <v>3026</v>
      </c>
      <c r="BP24" s="2339"/>
    </row>
    <row r="25" spans="1:68" s="455" customFormat="1" ht="50.25" customHeight="1" thickBot="1">
      <c r="A25" s="2896"/>
      <c r="B25" s="2897"/>
      <c r="C25" s="2893"/>
      <c r="D25" s="1799" t="s">
        <v>973</v>
      </c>
      <c r="E25" s="1791" t="s">
        <v>974</v>
      </c>
      <c r="F25" s="1792">
        <v>12</v>
      </c>
      <c r="G25" s="1793" t="s">
        <v>975</v>
      </c>
      <c r="H25" s="1798" t="s">
        <v>1832</v>
      </c>
      <c r="I25" s="453">
        <v>0.015873015873015872</v>
      </c>
      <c r="J25" s="1793" t="s">
        <v>948</v>
      </c>
      <c r="K25" s="1794">
        <v>42005</v>
      </c>
      <c r="L25" s="1794">
        <v>42369</v>
      </c>
      <c r="M25" s="1797">
        <v>1</v>
      </c>
      <c r="N25" s="1797">
        <v>1</v>
      </c>
      <c r="O25" s="1797">
        <v>1</v>
      </c>
      <c r="P25" s="1797">
        <v>1</v>
      </c>
      <c r="Q25" s="1797">
        <v>1</v>
      </c>
      <c r="R25" s="1797">
        <v>1</v>
      </c>
      <c r="S25" s="1797">
        <v>1</v>
      </c>
      <c r="T25" s="1797">
        <v>1</v>
      </c>
      <c r="U25" s="1797">
        <v>1</v>
      </c>
      <c r="V25" s="1797">
        <v>1</v>
      </c>
      <c r="W25" s="1797">
        <v>1</v>
      </c>
      <c r="X25" s="1797">
        <v>1</v>
      </c>
      <c r="Y25" s="1796">
        <f t="shared" si="1"/>
        <v>12</v>
      </c>
      <c r="Z25" s="454">
        <v>0</v>
      </c>
      <c r="AA25" s="1790" t="s">
        <v>1090</v>
      </c>
      <c r="AB25" s="1378">
        <f t="shared" si="2"/>
        <v>2</v>
      </c>
      <c r="AC25" s="1311">
        <f t="shared" si="3"/>
        <v>1</v>
      </c>
      <c r="AD25" s="1509">
        <v>2</v>
      </c>
      <c r="AE25" s="1311">
        <f t="shared" si="16"/>
        <v>1</v>
      </c>
      <c r="AF25" s="1311">
        <f t="shared" si="4"/>
        <v>0.16666666666666666</v>
      </c>
      <c r="AG25" s="1371">
        <f t="shared" si="5"/>
        <v>0.16666666666666666</v>
      </c>
      <c r="AH25" s="1371">
        <v>0</v>
      </c>
      <c r="AI25" s="1378"/>
      <c r="AJ25" s="1371" t="e">
        <v>#DIV/0!</v>
      </c>
      <c r="AK25" s="1378" t="s">
        <v>1957</v>
      </c>
      <c r="AL25" s="1378"/>
      <c r="AM25" s="1831">
        <f t="shared" si="6"/>
        <v>4</v>
      </c>
      <c r="AN25" s="1699">
        <f t="shared" si="7"/>
        <v>1</v>
      </c>
      <c r="AO25" s="1697">
        <v>2</v>
      </c>
      <c r="AP25" s="1699">
        <f t="shared" si="8"/>
        <v>0.5</v>
      </c>
      <c r="AQ25" s="1699">
        <f t="shared" si="9"/>
        <v>0.16666666666666666</v>
      </c>
      <c r="AR25" s="1699">
        <f t="shared" si="0"/>
        <v>0.5</v>
      </c>
      <c r="AS25" s="1743">
        <v>0</v>
      </c>
      <c r="AT25" s="1699">
        <v>0</v>
      </c>
      <c r="AU25" s="1692" t="s">
        <v>2304</v>
      </c>
      <c r="AV25" s="1692"/>
      <c r="AW25" s="2066">
        <f t="shared" si="10"/>
        <v>2</v>
      </c>
      <c r="AX25" s="1990">
        <f t="shared" si="15"/>
        <v>1</v>
      </c>
      <c r="AY25" s="1989">
        <v>2</v>
      </c>
      <c r="AZ25" s="1990">
        <f t="shared" si="11"/>
        <v>1</v>
      </c>
      <c r="BA25" s="1990">
        <f t="shared" si="12"/>
        <v>0.16666666666666666</v>
      </c>
      <c r="BB25" s="1990">
        <v>0.5</v>
      </c>
      <c r="BC25" s="2300">
        <v>0</v>
      </c>
      <c r="BD25" s="1989" t="s">
        <v>1090</v>
      </c>
      <c r="BE25" s="2084" t="s">
        <v>2571</v>
      </c>
      <c r="BF25" s="2084"/>
      <c r="BG25" s="2497">
        <f t="shared" si="13"/>
        <v>8</v>
      </c>
      <c r="BH25" s="2498">
        <f t="shared" si="14"/>
        <v>1</v>
      </c>
      <c r="BI25" s="2405">
        <v>8</v>
      </c>
      <c r="BJ25" s="2336">
        <v>1</v>
      </c>
      <c r="BK25" s="2336"/>
      <c r="BL25" s="2336">
        <f>BI25/Y25</f>
        <v>0.6666666666666666</v>
      </c>
      <c r="BM25" s="2338"/>
      <c r="BN25" s="2337"/>
      <c r="BO25" s="2339" t="s">
        <v>3027</v>
      </c>
      <c r="BP25" s="2339"/>
    </row>
    <row r="26" spans="1:68" s="455" customFormat="1" ht="92.25" customHeight="1" thickBot="1">
      <c r="A26" s="2896"/>
      <c r="B26" s="2897"/>
      <c r="C26" s="2893" t="s">
        <v>976</v>
      </c>
      <c r="D26" s="1800" t="s">
        <v>977</v>
      </c>
      <c r="E26" s="1791" t="s">
        <v>978</v>
      </c>
      <c r="F26" s="1792">
        <v>12</v>
      </c>
      <c r="G26" s="1793" t="s">
        <v>979</v>
      </c>
      <c r="H26" s="1798" t="s">
        <v>2305</v>
      </c>
      <c r="I26" s="453">
        <v>0.015873015873015872</v>
      </c>
      <c r="J26" s="1793" t="s">
        <v>948</v>
      </c>
      <c r="K26" s="1794">
        <v>42005</v>
      </c>
      <c r="L26" s="1794">
        <v>42369</v>
      </c>
      <c r="M26" s="1797">
        <v>1</v>
      </c>
      <c r="N26" s="1797">
        <v>1</v>
      </c>
      <c r="O26" s="1797">
        <v>1</v>
      </c>
      <c r="P26" s="1797">
        <v>1</v>
      </c>
      <c r="Q26" s="1797">
        <v>1</v>
      </c>
      <c r="R26" s="1797">
        <v>1</v>
      </c>
      <c r="S26" s="1797">
        <v>1</v>
      </c>
      <c r="T26" s="1797">
        <v>1</v>
      </c>
      <c r="U26" s="1797">
        <v>1</v>
      </c>
      <c r="V26" s="1797">
        <v>1</v>
      </c>
      <c r="W26" s="1797">
        <v>1</v>
      </c>
      <c r="X26" s="1797">
        <v>1</v>
      </c>
      <c r="Y26" s="1796">
        <f t="shared" si="1"/>
        <v>12</v>
      </c>
      <c r="Z26" s="454">
        <v>0</v>
      </c>
      <c r="AA26" s="1790" t="s">
        <v>1090</v>
      </c>
      <c r="AB26" s="1378">
        <f t="shared" si="2"/>
        <v>2</v>
      </c>
      <c r="AC26" s="1311">
        <f t="shared" si="3"/>
        <v>1</v>
      </c>
      <c r="AD26" s="1509">
        <v>0</v>
      </c>
      <c r="AE26" s="1311">
        <f t="shared" si="16"/>
        <v>0</v>
      </c>
      <c r="AF26" s="1311">
        <f t="shared" si="4"/>
        <v>0</v>
      </c>
      <c r="AG26" s="1371">
        <f t="shared" si="5"/>
        <v>0</v>
      </c>
      <c r="AH26" s="1371">
        <v>0</v>
      </c>
      <c r="AI26" s="1378">
        <v>0</v>
      </c>
      <c r="AJ26" s="1371" t="e">
        <v>#DIV/0!</v>
      </c>
      <c r="AK26" s="1378"/>
      <c r="AL26" s="1378"/>
      <c r="AM26" s="1831">
        <f t="shared" si="6"/>
        <v>4</v>
      </c>
      <c r="AN26" s="1699">
        <f t="shared" si="7"/>
        <v>1</v>
      </c>
      <c r="AO26" s="1697">
        <v>1</v>
      </c>
      <c r="AP26" s="1699">
        <f t="shared" si="8"/>
        <v>0.25</v>
      </c>
      <c r="AQ26" s="1699">
        <f t="shared" si="9"/>
        <v>0.08333333333333333</v>
      </c>
      <c r="AR26" s="1699">
        <f t="shared" si="0"/>
        <v>0.25</v>
      </c>
      <c r="AS26" s="1743">
        <v>0</v>
      </c>
      <c r="AT26" s="1699">
        <v>0</v>
      </c>
      <c r="AU26" s="1692" t="s">
        <v>2306</v>
      </c>
      <c r="AV26" s="1692"/>
      <c r="AW26" s="2066">
        <f t="shared" si="10"/>
        <v>2</v>
      </c>
      <c r="AX26" s="1990">
        <f t="shared" si="15"/>
        <v>1</v>
      </c>
      <c r="AY26" s="1989">
        <v>2</v>
      </c>
      <c r="AZ26" s="1990">
        <f t="shared" si="11"/>
        <v>1</v>
      </c>
      <c r="BA26" s="1990">
        <f t="shared" si="12"/>
        <v>0.16666666666666666</v>
      </c>
      <c r="BB26" s="1990">
        <f>3/12</f>
        <v>0.25</v>
      </c>
      <c r="BC26" s="2300">
        <v>0</v>
      </c>
      <c r="BD26" s="1989" t="s">
        <v>1090</v>
      </c>
      <c r="BE26" s="2084" t="s">
        <v>2572</v>
      </c>
      <c r="BF26" s="2084"/>
      <c r="BG26" s="2497">
        <f t="shared" si="13"/>
        <v>8</v>
      </c>
      <c r="BH26" s="2498">
        <f t="shared" si="14"/>
        <v>1</v>
      </c>
      <c r="BI26" s="2405">
        <v>5</v>
      </c>
      <c r="BJ26" s="2336">
        <f>BI26/BG26</f>
        <v>0.625</v>
      </c>
      <c r="BK26" s="2336"/>
      <c r="BL26" s="2336">
        <f>BI26/Y26</f>
        <v>0.4166666666666667</v>
      </c>
      <c r="BM26" s="2338"/>
      <c r="BN26" s="2337"/>
      <c r="BO26" s="2339" t="s">
        <v>3028</v>
      </c>
      <c r="BP26" s="2339"/>
    </row>
    <row r="27" spans="1:68" s="455" customFormat="1" ht="91.5" customHeight="1" thickBot="1">
      <c r="A27" s="2896"/>
      <c r="B27" s="2897"/>
      <c r="C27" s="2893"/>
      <c r="D27" s="1800" t="s">
        <v>980</v>
      </c>
      <c r="E27" s="1791" t="s">
        <v>978</v>
      </c>
      <c r="F27" s="1792">
        <v>12</v>
      </c>
      <c r="G27" s="1793" t="s">
        <v>1831</v>
      </c>
      <c r="H27" s="1798" t="s">
        <v>2305</v>
      </c>
      <c r="I27" s="453">
        <v>0.015873015873015872</v>
      </c>
      <c r="J27" s="1793" t="s">
        <v>948</v>
      </c>
      <c r="K27" s="1794">
        <v>42005</v>
      </c>
      <c r="L27" s="1794">
        <v>42369</v>
      </c>
      <c r="M27" s="1797">
        <v>1</v>
      </c>
      <c r="N27" s="1797">
        <v>1</v>
      </c>
      <c r="O27" s="1797">
        <v>1</v>
      </c>
      <c r="P27" s="1797">
        <v>1</v>
      </c>
      <c r="Q27" s="1797">
        <v>1</v>
      </c>
      <c r="R27" s="1797">
        <v>1</v>
      </c>
      <c r="S27" s="1797">
        <v>1</v>
      </c>
      <c r="T27" s="1797">
        <v>1</v>
      </c>
      <c r="U27" s="1797">
        <v>1</v>
      </c>
      <c r="V27" s="1797">
        <v>1</v>
      </c>
      <c r="W27" s="1797">
        <v>1</v>
      </c>
      <c r="X27" s="1797">
        <v>1</v>
      </c>
      <c r="Y27" s="1796">
        <f t="shared" si="1"/>
        <v>12</v>
      </c>
      <c r="Z27" s="454">
        <v>0</v>
      </c>
      <c r="AA27" s="1790" t="s">
        <v>1090</v>
      </c>
      <c r="AB27" s="1378">
        <f t="shared" si="2"/>
        <v>2</v>
      </c>
      <c r="AC27" s="1311">
        <f t="shared" si="3"/>
        <v>1</v>
      </c>
      <c r="AD27" s="1509">
        <v>2</v>
      </c>
      <c r="AE27" s="1311">
        <f t="shared" si="16"/>
        <v>1</v>
      </c>
      <c r="AF27" s="1311">
        <f t="shared" si="4"/>
        <v>0.16666666666666666</v>
      </c>
      <c r="AG27" s="1371">
        <f t="shared" si="5"/>
        <v>0.16666666666666666</v>
      </c>
      <c r="AH27" s="1371">
        <v>66.66666666666667</v>
      </c>
      <c r="AI27" s="1378">
        <v>0</v>
      </c>
      <c r="AJ27" s="1371" t="e">
        <v>#DIV/0!</v>
      </c>
      <c r="AK27" s="1378" t="s">
        <v>1958</v>
      </c>
      <c r="AL27" s="1378"/>
      <c r="AM27" s="1831">
        <f t="shared" si="6"/>
        <v>4</v>
      </c>
      <c r="AN27" s="1699">
        <f t="shared" si="7"/>
        <v>1</v>
      </c>
      <c r="AO27" s="1697">
        <v>1</v>
      </c>
      <c r="AP27" s="1699">
        <f t="shared" si="8"/>
        <v>0.25</v>
      </c>
      <c r="AQ27" s="1699">
        <f t="shared" si="9"/>
        <v>0.08333333333333333</v>
      </c>
      <c r="AR27" s="1699">
        <f t="shared" si="0"/>
        <v>0.25</v>
      </c>
      <c r="AS27" s="1743">
        <v>0</v>
      </c>
      <c r="AT27" s="1699">
        <v>0</v>
      </c>
      <c r="AU27" s="1692" t="s">
        <v>2307</v>
      </c>
      <c r="AV27" s="1692"/>
      <c r="AW27" s="2066">
        <f t="shared" si="10"/>
        <v>2</v>
      </c>
      <c r="AX27" s="1990">
        <f t="shared" si="15"/>
        <v>1</v>
      </c>
      <c r="AY27" s="1989">
        <v>2</v>
      </c>
      <c r="AZ27" s="1990">
        <f t="shared" si="11"/>
        <v>1</v>
      </c>
      <c r="BA27" s="1990">
        <f t="shared" si="12"/>
        <v>0.16666666666666666</v>
      </c>
      <c r="BB27" s="1990">
        <f>5/12</f>
        <v>0.4166666666666667</v>
      </c>
      <c r="BC27" s="2300">
        <v>0</v>
      </c>
      <c r="BD27" s="1989" t="s">
        <v>1090</v>
      </c>
      <c r="BE27" s="2084" t="s">
        <v>2573</v>
      </c>
      <c r="BF27" s="2084"/>
      <c r="BG27" s="2497">
        <f t="shared" si="13"/>
        <v>8</v>
      </c>
      <c r="BH27" s="2498">
        <f t="shared" si="14"/>
        <v>1</v>
      </c>
      <c r="BI27" s="2405">
        <v>7</v>
      </c>
      <c r="BJ27" s="2336">
        <f>BI27/BG27</f>
        <v>0.875</v>
      </c>
      <c r="BK27" s="2336"/>
      <c r="BL27" s="2336">
        <f>BI27/Y27</f>
        <v>0.5833333333333334</v>
      </c>
      <c r="BM27" s="2338"/>
      <c r="BN27" s="2337"/>
      <c r="BO27" s="2339" t="s">
        <v>3029</v>
      </c>
      <c r="BP27" s="2339"/>
    </row>
    <row r="28" spans="1:68" s="455" customFormat="1" ht="84.75" customHeight="1" thickBot="1">
      <c r="A28" s="2896"/>
      <c r="B28" s="2897"/>
      <c r="C28" s="2893"/>
      <c r="D28" s="1801" t="s">
        <v>981</v>
      </c>
      <c r="E28" s="1791" t="s">
        <v>978</v>
      </c>
      <c r="F28" s="1792">
        <v>12</v>
      </c>
      <c r="G28" s="1793" t="s">
        <v>982</v>
      </c>
      <c r="H28" s="1798" t="s">
        <v>2305</v>
      </c>
      <c r="I28" s="453">
        <v>0.015873015873015872</v>
      </c>
      <c r="J28" s="1793" t="s">
        <v>948</v>
      </c>
      <c r="K28" s="1794">
        <v>42005</v>
      </c>
      <c r="L28" s="1794">
        <v>42369</v>
      </c>
      <c r="M28" s="1797">
        <v>1</v>
      </c>
      <c r="N28" s="1797">
        <v>1</v>
      </c>
      <c r="O28" s="1797">
        <v>1</v>
      </c>
      <c r="P28" s="1797">
        <v>1</v>
      </c>
      <c r="Q28" s="1797">
        <v>1</v>
      </c>
      <c r="R28" s="1797">
        <v>1</v>
      </c>
      <c r="S28" s="1797">
        <v>1</v>
      </c>
      <c r="T28" s="1797">
        <v>1</v>
      </c>
      <c r="U28" s="1797">
        <v>1</v>
      </c>
      <c r="V28" s="1797">
        <v>1</v>
      </c>
      <c r="W28" s="1797">
        <v>1</v>
      </c>
      <c r="X28" s="1797">
        <v>1</v>
      </c>
      <c r="Y28" s="1796">
        <f t="shared" si="1"/>
        <v>12</v>
      </c>
      <c r="Z28" s="454">
        <v>0</v>
      </c>
      <c r="AA28" s="1790" t="s">
        <v>1090</v>
      </c>
      <c r="AB28" s="1378">
        <f t="shared" si="2"/>
        <v>2</v>
      </c>
      <c r="AC28" s="1311">
        <f t="shared" si="3"/>
        <v>1</v>
      </c>
      <c r="AD28" s="1509">
        <v>12</v>
      </c>
      <c r="AE28" s="1311">
        <f t="shared" si="16"/>
        <v>6</v>
      </c>
      <c r="AF28" s="1311">
        <f t="shared" si="4"/>
        <v>1</v>
      </c>
      <c r="AG28" s="1371">
        <f t="shared" si="5"/>
        <v>1</v>
      </c>
      <c r="AH28" s="1371">
        <v>100</v>
      </c>
      <c r="AI28" s="1378">
        <v>0</v>
      </c>
      <c r="AJ28" s="1371" t="e">
        <v>#DIV/0!</v>
      </c>
      <c r="AK28" s="1378" t="s">
        <v>1959</v>
      </c>
      <c r="AL28" s="1378"/>
      <c r="AM28" s="1831">
        <f t="shared" si="6"/>
        <v>4</v>
      </c>
      <c r="AN28" s="1699">
        <f t="shared" si="7"/>
        <v>1</v>
      </c>
      <c r="AO28" s="1697">
        <v>1</v>
      </c>
      <c r="AP28" s="1699">
        <f t="shared" si="8"/>
        <v>0.25</v>
      </c>
      <c r="AQ28" s="1699">
        <f t="shared" si="9"/>
        <v>0.08333333333333333</v>
      </c>
      <c r="AR28" s="1699">
        <f t="shared" si="0"/>
        <v>0.25</v>
      </c>
      <c r="AS28" s="1743">
        <v>0</v>
      </c>
      <c r="AT28" s="1699">
        <v>0</v>
      </c>
      <c r="AU28" s="1692" t="s">
        <v>2308</v>
      </c>
      <c r="AV28" s="1692"/>
      <c r="AW28" s="2066">
        <f t="shared" si="10"/>
        <v>2</v>
      </c>
      <c r="AX28" s="1990">
        <f t="shared" si="15"/>
        <v>1</v>
      </c>
      <c r="AY28" s="1989">
        <v>2</v>
      </c>
      <c r="AZ28" s="1990">
        <f t="shared" si="11"/>
        <v>1</v>
      </c>
      <c r="BA28" s="1990">
        <f t="shared" si="12"/>
        <v>0.16666666666666666</v>
      </c>
      <c r="BB28" s="1990">
        <v>1</v>
      </c>
      <c r="BC28" s="2300">
        <v>0</v>
      </c>
      <c r="BD28" s="1989" t="s">
        <v>1090</v>
      </c>
      <c r="BE28" s="2084" t="s">
        <v>2574</v>
      </c>
      <c r="BF28" s="2084"/>
      <c r="BG28" s="2497">
        <f t="shared" si="13"/>
        <v>8</v>
      </c>
      <c r="BH28" s="2498">
        <f t="shared" si="14"/>
        <v>1</v>
      </c>
      <c r="BI28" s="2405">
        <v>8</v>
      </c>
      <c r="BJ28" s="2336">
        <v>1</v>
      </c>
      <c r="BK28" s="2336"/>
      <c r="BL28" s="2336">
        <f>BI28/Y28</f>
        <v>0.6666666666666666</v>
      </c>
      <c r="BM28" s="2338"/>
      <c r="BN28" s="2337"/>
      <c r="BO28" s="2339" t="s">
        <v>3030</v>
      </c>
      <c r="BP28" s="2339"/>
    </row>
    <row r="29" spans="1:68" s="455" customFormat="1" ht="87.75" customHeight="1" thickBot="1">
      <c r="A29" s="2896"/>
      <c r="B29" s="2897"/>
      <c r="C29" s="2893"/>
      <c r="D29" s="1801" t="s">
        <v>983</v>
      </c>
      <c r="E29" s="1791" t="s">
        <v>984</v>
      </c>
      <c r="F29" s="1792">
        <v>2</v>
      </c>
      <c r="G29" s="1793" t="s">
        <v>985</v>
      </c>
      <c r="H29" s="1798" t="s">
        <v>2305</v>
      </c>
      <c r="I29" s="453">
        <v>0.015873015873015872</v>
      </c>
      <c r="J29" s="1793" t="s">
        <v>986</v>
      </c>
      <c r="K29" s="1794">
        <v>42005</v>
      </c>
      <c r="L29" s="1794">
        <v>42369</v>
      </c>
      <c r="M29" s="1797"/>
      <c r="N29" s="1797"/>
      <c r="O29" s="1797"/>
      <c r="P29" s="1797">
        <v>1</v>
      </c>
      <c r="Q29" s="1797"/>
      <c r="R29" s="1797"/>
      <c r="S29" s="1797"/>
      <c r="T29" s="1797"/>
      <c r="U29" s="1797"/>
      <c r="V29" s="1797">
        <v>1</v>
      </c>
      <c r="W29" s="1797"/>
      <c r="X29" s="1797"/>
      <c r="Y29" s="1796">
        <f t="shared" si="1"/>
        <v>2</v>
      </c>
      <c r="Z29" s="454">
        <v>0</v>
      </c>
      <c r="AA29" s="1790" t="s">
        <v>1090</v>
      </c>
      <c r="AB29" s="1378">
        <f t="shared" si="2"/>
        <v>0</v>
      </c>
      <c r="AC29" s="1311">
        <f t="shared" si="3"/>
        <v>0</v>
      </c>
      <c r="AD29" s="1509">
        <v>1</v>
      </c>
      <c r="AE29" s="1311" t="s">
        <v>1090</v>
      </c>
      <c r="AF29" s="1311">
        <f t="shared" si="4"/>
        <v>0.5</v>
      </c>
      <c r="AG29" s="1371">
        <f t="shared" si="5"/>
        <v>0.5</v>
      </c>
      <c r="AH29" s="1371">
        <v>0</v>
      </c>
      <c r="AI29" s="1378">
        <v>0</v>
      </c>
      <c r="AJ29" s="1371" t="e">
        <v>#DIV/0!</v>
      </c>
      <c r="AK29" s="1378" t="s">
        <v>1960</v>
      </c>
      <c r="AL29" s="1378"/>
      <c r="AM29" s="1831">
        <f t="shared" si="6"/>
        <v>1</v>
      </c>
      <c r="AN29" s="1699">
        <f t="shared" si="7"/>
        <v>1</v>
      </c>
      <c r="AO29" s="1697">
        <v>1</v>
      </c>
      <c r="AP29" s="1699">
        <f t="shared" si="8"/>
        <v>1</v>
      </c>
      <c r="AQ29" s="1699">
        <f t="shared" si="9"/>
        <v>0.5</v>
      </c>
      <c r="AR29" s="1699">
        <f t="shared" si="0"/>
        <v>1</v>
      </c>
      <c r="AS29" s="1743">
        <v>0</v>
      </c>
      <c r="AT29" s="1699">
        <v>0</v>
      </c>
      <c r="AU29" s="1692" t="s">
        <v>2309</v>
      </c>
      <c r="AV29" s="1692"/>
      <c r="AW29" s="2066">
        <f t="shared" si="10"/>
        <v>0</v>
      </c>
      <c r="AX29" s="1990">
        <f t="shared" si="15"/>
        <v>0</v>
      </c>
      <c r="AY29" s="1989">
        <v>1</v>
      </c>
      <c r="AZ29" s="1990" t="s">
        <v>1090</v>
      </c>
      <c r="BA29" s="1990">
        <f t="shared" si="12"/>
        <v>0.5</v>
      </c>
      <c r="BB29" s="1990">
        <v>1</v>
      </c>
      <c r="BC29" s="2300">
        <v>0</v>
      </c>
      <c r="BD29" s="1989" t="s">
        <v>1090</v>
      </c>
      <c r="BE29" s="2084" t="s">
        <v>2575</v>
      </c>
      <c r="BF29" s="2084"/>
      <c r="BG29" s="2497">
        <f t="shared" si="13"/>
        <v>1</v>
      </c>
      <c r="BH29" s="2498">
        <f t="shared" si="14"/>
        <v>1</v>
      </c>
      <c r="BI29" s="2405">
        <v>1</v>
      </c>
      <c r="BJ29" s="2336">
        <v>1</v>
      </c>
      <c r="BK29" s="2336"/>
      <c r="BL29" s="2336">
        <v>0.5</v>
      </c>
      <c r="BM29" s="2338"/>
      <c r="BN29" s="2337"/>
      <c r="BO29" s="2339" t="s">
        <v>3031</v>
      </c>
      <c r="BP29" s="2339"/>
    </row>
    <row r="30" spans="1:68" s="455" customFormat="1" ht="91.5" customHeight="1" thickBot="1">
      <c r="A30" s="2896"/>
      <c r="B30" s="2897"/>
      <c r="C30" s="2884" t="s">
        <v>987</v>
      </c>
      <c r="D30" s="1801" t="s">
        <v>988</v>
      </c>
      <c r="E30" s="1791" t="s">
        <v>978</v>
      </c>
      <c r="F30" s="1792">
        <v>12</v>
      </c>
      <c r="G30" s="1793" t="s">
        <v>989</v>
      </c>
      <c r="H30" s="1798" t="s">
        <v>2305</v>
      </c>
      <c r="I30" s="453">
        <v>0.015873015873015872</v>
      </c>
      <c r="J30" s="1793" t="s">
        <v>948</v>
      </c>
      <c r="K30" s="1794">
        <v>42005</v>
      </c>
      <c r="L30" s="1794">
        <v>42369</v>
      </c>
      <c r="M30" s="1797">
        <v>1</v>
      </c>
      <c r="N30" s="1797">
        <v>1</v>
      </c>
      <c r="O30" s="1797">
        <v>1</v>
      </c>
      <c r="P30" s="1797">
        <v>1</v>
      </c>
      <c r="Q30" s="1797">
        <v>1</v>
      </c>
      <c r="R30" s="1797">
        <v>1</v>
      </c>
      <c r="S30" s="1797">
        <v>1</v>
      </c>
      <c r="T30" s="1797">
        <v>1</v>
      </c>
      <c r="U30" s="1797">
        <v>1</v>
      </c>
      <c r="V30" s="1797">
        <v>1</v>
      </c>
      <c r="W30" s="1797">
        <v>1</v>
      </c>
      <c r="X30" s="1797">
        <v>1</v>
      </c>
      <c r="Y30" s="1796">
        <f t="shared" si="1"/>
        <v>12</v>
      </c>
      <c r="Z30" s="454">
        <v>0</v>
      </c>
      <c r="AA30" s="1790" t="s">
        <v>1090</v>
      </c>
      <c r="AB30" s="1378">
        <f t="shared" si="2"/>
        <v>2</v>
      </c>
      <c r="AC30" s="1311">
        <f t="shared" si="3"/>
        <v>1</v>
      </c>
      <c r="AD30" s="1509">
        <v>2</v>
      </c>
      <c r="AE30" s="1311">
        <f t="shared" si="16"/>
        <v>1</v>
      </c>
      <c r="AF30" s="1311">
        <f t="shared" si="4"/>
        <v>0.16666666666666666</v>
      </c>
      <c r="AG30" s="1371">
        <f t="shared" si="5"/>
        <v>0.16666666666666666</v>
      </c>
      <c r="AH30" s="1371">
        <v>0</v>
      </c>
      <c r="AI30" s="1378"/>
      <c r="AJ30" s="1371" t="e">
        <v>#DIV/0!</v>
      </c>
      <c r="AK30" s="1378"/>
      <c r="AL30" s="1378"/>
      <c r="AM30" s="1831">
        <f t="shared" si="6"/>
        <v>4</v>
      </c>
      <c r="AN30" s="1699">
        <f t="shared" si="7"/>
        <v>1</v>
      </c>
      <c r="AO30" s="1697">
        <v>1</v>
      </c>
      <c r="AP30" s="1699">
        <f t="shared" si="8"/>
        <v>0.25</v>
      </c>
      <c r="AQ30" s="1699">
        <f t="shared" si="9"/>
        <v>0.08333333333333333</v>
      </c>
      <c r="AR30" s="1699">
        <f t="shared" si="0"/>
        <v>0.25</v>
      </c>
      <c r="AS30" s="1743">
        <v>0</v>
      </c>
      <c r="AT30" s="1699">
        <v>0</v>
      </c>
      <c r="AU30" s="1692" t="s">
        <v>2310</v>
      </c>
      <c r="AV30" s="1692"/>
      <c r="AW30" s="2066">
        <f t="shared" si="10"/>
        <v>2</v>
      </c>
      <c r="AX30" s="1990">
        <f t="shared" si="15"/>
        <v>1</v>
      </c>
      <c r="AY30" s="1989">
        <v>2</v>
      </c>
      <c r="AZ30" s="1990">
        <f t="shared" si="11"/>
        <v>1</v>
      </c>
      <c r="BA30" s="1990">
        <f t="shared" si="12"/>
        <v>0.16666666666666666</v>
      </c>
      <c r="BB30" s="1990">
        <f>5/12</f>
        <v>0.4166666666666667</v>
      </c>
      <c r="BC30" s="2300">
        <v>0</v>
      </c>
      <c r="BD30" s="1989" t="s">
        <v>1090</v>
      </c>
      <c r="BE30" s="2084" t="s">
        <v>2576</v>
      </c>
      <c r="BF30" s="2084"/>
      <c r="BG30" s="2497">
        <f t="shared" si="13"/>
        <v>8</v>
      </c>
      <c r="BH30" s="2498">
        <f t="shared" si="14"/>
        <v>1</v>
      </c>
      <c r="BI30" s="2405">
        <v>7</v>
      </c>
      <c r="BJ30" s="2336">
        <f>BI30/BG30</f>
        <v>0.875</v>
      </c>
      <c r="BK30" s="2336"/>
      <c r="BL30" s="2336">
        <f>BI30/Y30</f>
        <v>0.5833333333333334</v>
      </c>
      <c r="BM30" s="2338"/>
      <c r="BN30" s="2337"/>
      <c r="BO30" s="2339" t="s">
        <v>3032</v>
      </c>
      <c r="BP30" s="2339"/>
    </row>
    <row r="31" spans="1:68" s="455" customFormat="1" ht="94.5" customHeight="1" thickBot="1">
      <c r="A31" s="2896"/>
      <c r="B31" s="2897"/>
      <c r="C31" s="2885"/>
      <c r="D31" s="1801" t="s">
        <v>990</v>
      </c>
      <c r="E31" s="1791" t="s">
        <v>978</v>
      </c>
      <c r="F31" s="1792">
        <v>12</v>
      </c>
      <c r="G31" s="1793" t="s">
        <v>991</v>
      </c>
      <c r="H31" s="1798" t="s">
        <v>2305</v>
      </c>
      <c r="I31" s="453">
        <v>0.015873015873015872</v>
      </c>
      <c r="J31" s="1793" t="s">
        <v>992</v>
      </c>
      <c r="K31" s="1794">
        <v>42005</v>
      </c>
      <c r="L31" s="1794">
        <v>42369</v>
      </c>
      <c r="M31" s="1797">
        <v>1</v>
      </c>
      <c r="N31" s="1797">
        <v>1</v>
      </c>
      <c r="O31" s="1797">
        <v>1</v>
      </c>
      <c r="P31" s="1797">
        <v>1</v>
      </c>
      <c r="Q31" s="1797">
        <v>1</v>
      </c>
      <c r="R31" s="1797">
        <v>1</v>
      </c>
      <c r="S31" s="1797">
        <v>1</v>
      </c>
      <c r="T31" s="1797">
        <v>1</v>
      </c>
      <c r="U31" s="1797">
        <v>1</v>
      </c>
      <c r="V31" s="1797">
        <v>1</v>
      </c>
      <c r="W31" s="1797">
        <v>1</v>
      </c>
      <c r="X31" s="1797">
        <v>1</v>
      </c>
      <c r="Y31" s="1796">
        <f t="shared" si="1"/>
        <v>12</v>
      </c>
      <c r="Z31" s="454">
        <v>0</v>
      </c>
      <c r="AA31" s="1790" t="s">
        <v>1090</v>
      </c>
      <c r="AB31" s="1378">
        <f t="shared" si="2"/>
        <v>2</v>
      </c>
      <c r="AC31" s="1311">
        <f t="shared" si="3"/>
        <v>1</v>
      </c>
      <c r="AD31" s="1509">
        <v>2</v>
      </c>
      <c r="AE31" s="1311">
        <f t="shared" si="16"/>
        <v>1</v>
      </c>
      <c r="AF31" s="1311">
        <f t="shared" si="4"/>
        <v>0.16666666666666666</v>
      </c>
      <c r="AG31" s="1371">
        <f t="shared" si="5"/>
        <v>0.16666666666666666</v>
      </c>
      <c r="AH31" s="1371">
        <v>0</v>
      </c>
      <c r="AI31" s="1378"/>
      <c r="AJ31" s="1371" t="e">
        <v>#DIV/0!</v>
      </c>
      <c r="AK31" s="1378"/>
      <c r="AL31" s="1378"/>
      <c r="AM31" s="1831">
        <f t="shared" si="6"/>
        <v>4</v>
      </c>
      <c r="AN31" s="1699">
        <f t="shared" si="7"/>
        <v>1</v>
      </c>
      <c r="AO31" s="1697">
        <v>1</v>
      </c>
      <c r="AP31" s="1699">
        <f t="shared" si="8"/>
        <v>0.25</v>
      </c>
      <c r="AQ31" s="1699">
        <f t="shared" si="9"/>
        <v>0.08333333333333333</v>
      </c>
      <c r="AR31" s="1699">
        <f t="shared" si="0"/>
        <v>0.25</v>
      </c>
      <c r="AS31" s="1743">
        <v>0</v>
      </c>
      <c r="AT31" s="1699">
        <v>0</v>
      </c>
      <c r="AU31" s="1692" t="s">
        <v>2311</v>
      </c>
      <c r="AV31" s="1692"/>
      <c r="AW31" s="2066">
        <f t="shared" si="10"/>
        <v>2</v>
      </c>
      <c r="AX31" s="1990">
        <f t="shared" si="15"/>
        <v>1</v>
      </c>
      <c r="AY31" s="1989">
        <v>2</v>
      </c>
      <c r="AZ31" s="1990">
        <f t="shared" si="11"/>
        <v>1</v>
      </c>
      <c r="BA31" s="1990">
        <f t="shared" si="12"/>
        <v>0.16666666666666666</v>
      </c>
      <c r="BB31" s="1990">
        <f>5/12</f>
        <v>0.4166666666666667</v>
      </c>
      <c r="BC31" s="2300">
        <v>0</v>
      </c>
      <c r="BD31" s="1989" t="s">
        <v>1090</v>
      </c>
      <c r="BE31" s="2084" t="s">
        <v>2577</v>
      </c>
      <c r="BF31" s="2084"/>
      <c r="BG31" s="2497">
        <f t="shared" si="13"/>
        <v>8</v>
      </c>
      <c r="BH31" s="2498">
        <f t="shared" si="14"/>
        <v>1</v>
      </c>
      <c r="BI31" s="2405">
        <v>7</v>
      </c>
      <c r="BJ31" s="2336">
        <f>BI31/BG31</f>
        <v>0.875</v>
      </c>
      <c r="BK31" s="2336"/>
      <c r="BL31" s="2336">
        <f aca="true" t="shared" si="17" ref="BL31:BL32">BI31/Y31</f>
        <v>0.5833333333333334</v>
      </c>
      <c r="BM31" s="2338"/>
      <c r="BN31" s="2337"/>
      <c r="BO31" s="2339" t="s">
        <v>3033</v>
      </c>
      <c r="BP31" s="2339"/>
    </row>
    <row r="32" spans="1:68" s="455" customFormat="1" ht="51" customHeight="1" thickBot="1">
      <c r="A32" s="2896"/>
      <c r="B32" s="2897"/>
      <c r="C32" s="2885"/>
      <c r="D32" s="1801" t="s">
        <v>993</v>
      </c>
      <c r="E32" s="1791" t="s">
        <v>978</v>
      </c>
      <c r="F32" s="1792">
        <v>12</v>
      </c>
      <c r="G32" s="1793" t="s">
        <v>991</v>
      </c>
      <c r="H32" s="1798" t="s">
        <v>2305</v>
      </c>
      <c r="I32" s="453">
        <v>0.015873015873015872</v>
      </c>
      <c r="J32" s="1793" t="s">
        <v>992</v>
      </c>
      <c r="K32" s="1794">
        <v>42005</v>
      </c>
      <c r="L32" s="1794">
        <v>42369</v>
      </c>
      <c r="M32" s="1797">
        <v>1</v>
      </c>
      <c r="N32" s="1797">
        <v>1</v>
      </c>
      <c r="O32" s="1797">
        <v>1</v>
      </c>
      <c r="P32" s="1797">
        <v>1</v>
      </c>
      <c r="Q32" s="1797">
        <v>1</v>
      </c>
      <c r="R32" s="1797">
        <v>1</v>
      </c>
      <c r="S32" s="1797">
        <v>1</v>
      </c>
      <c r="T32" s="1797">
        <v>1</v>
      </c>
      <c r="U32" s="1797">
        <v>1</v>
      </c>
      <c r="V32" s="1797">
        <v>1</v>
      </c>
      <c r="W32" s="1797">
        <v>1</v>
      </c>
      <c r="X32" s="1797">
        <v>1</v>
      </c>
      <c r="Y32" s="1796">
        <f t="shared" si="1"/>
        <v>12</v>
      </c>
      <c r="Z32" s="454">
        <v>0</v>
      </c>
      <c r="AA32" s="1790" t="s">
        <v>1090</v>
      </c>
      <c r="AB32" s="1378">
        <f t="shared" si="2"/>
        <v>2</v>
      </c>
      <c r="AC32" s="1311">
        <f t="shared" si="3"/>
        <v>1</v>
      </c>
      <c r="AD32" s="1509">
        <v>2</v>
      </c>
      <c r="AE32" s="1311">
        <f t="shared" si="16"/>
        <v>1</v>
      </c>
      <c r="AF32" s="1311">
        <f t="shared" si="4"/>
        <v>0.16666666666666666</v>
      </c>
      <c r="AG32" s="1371">
        <f t="shared" si="5"/>
        <v>0.16666666666666666</v>
      </c>
      <c r="AH32" s="1371">
        <v>0</v>
      </c>
      <c r="AI32" s="1378"/>
      <c r="AJ32" s="1371" t="e">
        <v>#DIV/0!</v>
      </c>
      <c r="AK32" s="1378"/>
      <c r="AL32" s="1378"/>
      <c r="AM32" s="1831">
        <f t="shared" si="6"/>
        <v>4</v>
      </c>
      <c r="AN32" s="1699">
        <f t="shared" si="7"/>
        <v>1</v>
      </c>
      <c r="AO32" s="1697">
        <v>1</v>
      </c>
      <c r="AP32" s="1699">
        <f t="shared" si="8"/>
        <v>0.25</v>
      </c>
      <c r="AQ32" s="1699">
        <f t="shared" si="9"/>
        <v>0.08333333333333333</v>
      </c>
      <c r="AR32" s="1699">
        <f t="shared" si="0"/>
        <v>0.25</v>
      </c>
      <c r="AS32" s="1743">
        <v>0</v>
      </c>
      <c r="AT32" s="1699">
        <v>0</v>
      </c>
      <c r="AU32" s="1692" t="s">
        <v>2312</v>
      </c>
      <c r="AV32" s="1692"/>
      <c r="AW32" s="2066">
        <f t="shared" si="10"/>
        <v>2</v>
      </c>
      <c r="AX32" s="1990">
        <f t="shared" si="15"/>
        <v>1</v>
      </c>
      <c r="AY32" s="1989">
        <v>2</v>
      </c>
      <c r="AZ32" s="1990">
        <f t="shared" si="11"/>
        <v>1</v>
      </c>
      <c r="BA32" s="1990">
        <f t="shared" si="12"/>
        <v>0.16666666666666666</v>
      </c>
      <c r="BB32" s="1990">
        <f>5/12</f>
        <v>0.4166666666666667</v>
      </c>
      <c r="BC32" s="2300">
        <v>0</v>
      </c>
      <c r="BD32" s="1989" t="s">
        <v>1090</v>
      </c>
      <c r="BE32" s="2084" t="s">
        <v>2578</v>
      </c>
      <c r="BF32" s="2084"/>
      <c r="BG32" s="2497">
        <f t="shared" si="13"/>
        <v>8</v>
      </c>
      <c r="BH32" s="2498">
        <f t="shared" si="14"/>
        <v>1</v>
      </c>
      <c r="BI32" s="2405">
        <v>7</v>
      </c>
      <c r="BJ32" s="2336">
        <f>BI32/BG32</f>
        <v>0.875</v>
      </c>
      <c r="BK32" s="2336"/>
      <c r="BL32" s="2336">
        <f t="shared" si="17"/>
        <v>0.5833333333333334</v>
      </c>
      <c r="BM32" s="2338"/>
      <c r="BN32" s="2337"/>
      <c r="BO32" s="2339" t="s">
        <v>3034</v>
      </c>
      <c r="BP32" s="2339"/>
    </row>
    <row r="33" spans="1:68" s="455" customFormat="1" ht="102.75" thickBot="1">
      <c r="A33" s="2896"/>
      <c r="B33" s="2897"/>
      <c r="C33" s="2885"/>
      <c r="D33" s="1801" t="s">
        <v>994</v>
      </c>
      <c r="E33" s="1791" t="s">
        <v>978</v>
      </c>
      <c r="F33" s="1792">
        <v>12</v>
      </c>
      <c r="G33" s="1793" t="s">
        <v>995</v>
      </c>
      <c r="H33" s="1918" t="s">
        <v>943</v>
      </c>
      <c r="I33" s="453">
        <v>0.015873015873015872</v>
      </c>
      <c r="J33" s="1793" t="s">
        <v>992</v>
      </c>
      <c r="K33" s="1794">
        <v>42005</v>
      </c>
      <c r="L33" s="1794">
        <v>42369</v>
      </c>
      <c r="M33" s="1797">
        <v>1</v>
      </c>
      <c r="N33" s="1797">
        <v>1</v>
      </c>
      <c r="O33" s="1797">
        <v>1</v>
      </c>
      <c r="P33" s="1797">
        <v>1</v>
      </c>
      <c r="Q33" s="1797">
        <v>1</v>
      </c>
      <c r="R33" s="1797">
        <v>1</v>
      </c>
      <c r="S33" s="1797">
        <v>1</v>
      </c>
      <c r="T33" s="1797">
        <v>1</v>
      </c>
      <c r="U33" s="1797">
        <v>1</v>
      </c>
      <c r="V33" s="1797">
        <v>1</v>
      </c>
      <c r="W33" s="1797">
        <v>1</v>
      </c>
      <c r="X33" s="1797">
        <v>1</v>
      </c>
      <c r="Y33" s="1796">
        <f t="shared" si="1"/>
        <v>12</v>
      </c>
      <c r="Z33" s="454">
        <v>0</v>
      </c>
      <c r="AA33" s="1790" t="s">
        <v>1090</v>
      </c>
      <c r="AB33" s="1378">
        <f t="shared" si="2"/>
        <v>2</v>
      </c>
      <c r="AC33" s="1311">
        <f t="shared" si="3"/>
        <v>1</v>
      </c>
      <c r="AD33" s="1509">
        <v>2</v>
      </c>
      <c r="AE33" s="1311">
        <f t="shared" si="16"/>
        <v>1</v>
      </c>
      <c r="AF33" s="1311">
        <f t="shared" si="4"/>
        <v>0.16666666666666666</v>
      </c>
      <c r="AG33" s="1371">
        <f t="shared" si="5"/>
        <v>0.16666666666666666</v>
      </c>
      <c r="AH33" s="1371"/>
      <c r="AI33" s="1378"/>
      <c r="AJ33" s="1371" t="e">
        <v>#DIV/0!</v>
      </c>
      <c r="AK33" s="1378"/>
      <c r="AL33" s="1378"/>
      <c r="AM33" s="1831">
        <f t="shared" si="6"/>
        <v>4</v>
      </c>
      <c r="AN33" s="1699">
        <f t="shared" si="7"/>
        <v>1</v>
      </c>
      <c r="AO33" s="1697">
        <v>2</v>
      </c>
      <c r="AP33" s="1699">
        <f t="shared" si="8"/>
        <v>0.5</v>
      </c>
      <c r="AQ33" s="1699">
        <f t="shared" si="9"/>
        <v>0.16666666666666666</v>
      </c>
      <c r="AR33" s="1699">
        <f t="shared" si="0"/>
        <v>0.5</v>
      </c>
      <c r="AS33" s="1743">
        <v>0</v>
      </c>
      <c r="AT33" s="1699">
        <v>0</v>
      </c>
      <c r="AU33" s="1692" t="s">
        <v>2443</v>
      </c>
      <c r="AV33" s="1692"/>
      <c r="AW33" s="2066">
        <f t="shared" si="10"/>
        <v>2</v>
      </c>
      <c r="AX33" s="1990">
        <f t="shared" si="15"/>
        <v>1</v>
      </c>
      <c r="AY33" s="1989">
        <v>0</v>
      </c>
      <c r="AZ33" s="1990">
        <f t="shared" si="11"/>
        <v>0</v>
      </c>
      <c r="BA33" s="1990">
        <f t="shared" si="12"/>
        <v>0</v>
      </c>
      <c r="BB33" s="1990">
        <f>4/12</f>
        <v>0.3333333333333333</v>
      </c>
      <c r="BC33" s="2300">
        <v>0</v>
      </c>
      <c r="BD33" s="1989" t="s">
        <v>1090</v>
      </c>
      <c r="BE33" s="2084" t="s">
        <v>2579</v>
      </c>
      <c r="BF33" s="2084"/>
      <c r="BG33" s="2497">
        <f t="shared" si="13"/>
        <v>8</v>
      </c>
      <c r="BH33" s="2498">
        <f t="shared" si="14"/>
        <v>1</v>
      </c>
      <c r="BI33" s="2405">
        <v>8</v>
      </c>
      <c r="BJ33" s="2336">
        <v>1</v>
      </c>
      <c r="BK33" s="2336"/>
      <c r="BL33" s="2336">
        <f aca="true" t="shared" si="18" ref="BL33:BL39">BI33/Y33</f>
        <v>0.6666666666666666</v>
      </c>
      <c r="BM33" s="2338"/>
      <c r="BN33" s="2337"/>
      <c r="BO33" s="2339" t="s">
        <v>3035</v>
      </c>
      <c r="BP33" s="2339"/>
    </row>
    <row r="34" spans="1:68" s="455" customFormat="1" ht="42.75" customHeight="1" thickBot="1">
      <c r="A34" s="2896"/>
      <c r="B34" s="2897"/>
      <c r="C34" s="2885"/>
      <c r="D34" s="1801" t="s">
        <v>996</v>
      </c>
      <c r="E34" s="1791" t="s">
        <v>997</v>
      </c>
      <c r="F34" s="1792">
        <v>12</v>
      </c>
      <c r="G34" s="1793" t="s">
        <v>998</v>
      </c>
      <c r="H34" s="1798" t="s">
        <v>1830</v>
      </c>
      <c r="I34" s="453">
        <v>0.015873015873015872</v>
      </c>
      <c r="J34" s="1793" t="s">
        <v>948</v>
      </c>
      <c r="K34" s="1794">
        <v>42005</v>
      </c>
      <c r="L34" s="1794">
        <v>42369</v>
      </c>
      <c r="M34" s="1797">
        <v>1</v>
      </c>
      <c r="N34" s="1797">
        <v>1</v>
      </c>
      <c r="O34" s="1797">
        <v>1</v>
      </c>
      <c r="P34" s="1797">
        <v>1</v>
      </c>
      <c r="Q34" s="1797">
        <v>1</v>
      </c>
      <c r="R34" s="1797">
        <v>1</v>
      </c>
      <c r="S34" s="1797">
        <v>1</v>
      </c>
      <c r="T34" s="1797">
        <v>1</v>
      </c>
      <c r="U34" s="1797">
        <v>1</v>
      </c>
      <c r="V34" s="1797">
        <v>1</v>
      </c>
      <c r="W34" s="1797">
        <v>1</v>
      </c>
      <c r="X34" s="1797">
        <v>1</v>
      </c>
      <c r="Y34" s="1796">
        <f t="shared" si="1"/>
        <v>12</v>
      </c>
      <c r="Z34" s="454">
        <v>0</v>
      </c>
      <c r="AA34" s="1790" t="s">
        <v>1090</v>
      </c>
      <c r="AB34" s="1378">
        <f t="shared" si="2"/>
        <v>2</v>
      </c>
      <c r="AC34" s="1311">
        <f t="shared" si="3"/>
        <v>1</v>
      </c>
      <c r="AD34" s="1509">
        <v>2</v>
      </c>
      <c r="AE34" s="1311">
        <f t="shared" si="16"/>
        <v>1</v>
      </c>
      <c r="AF34" s="1311">
        <f t="shared" si="4"/>
        <v>0.16666666666666666</v>
      </c>
      <c r="AG34" s="1371">
        <f t="shared" si="5"/>
        <v>0.16666666666666666</v>
      </c>
      <c r="AH34" s="1371">
        <v>16.666666666666668</v>
      </c>
      <c r="AI34" s="1378">
        <v>0</v>
      </c>
      <c r="AJ34" s="1371" t="e">
        <v>#DIV/0!</v>
      </c>
      <c r="AK34" s="1378"/>
      <c r="AL34" s="1378"/>
      <c r="AM34" s="1831">
        <f t="shared" si="6"/>
        <v>4</v>
      </c>
      <c r="AN34" s="1699">
        <f t="shared" si="7"/>
        <v>1</v>
      </c>
      <c r="AO34" s="1697">
        <v>2</v>
      </c>
      <c r="AP34" s="1699">
        <f t="shared" si="8"/>
        <v>0.5</v>
      </c>
      <c r="AQ34" s="1699">
        <f t="shared" si="9"/>
        <v>0.16666666666666666</v>
      </c>
      <c r="AR34" s="1699">
        <f t="shared" si="0"/>
        <v>0.5</v>
      </c>
      <c r="AS34" s="1743">
        <v>0</v>
      </c>
      <c r="AT34" s="1699">
        <v>0</v>
      </c>
      <c r="AU34" s="1692" t="s">
        <v>2313</v>
      </c>
      <c r="AV34" s="1692"/>
      <c r="AW34" s="2066">
        <f t="shared" si="10"/>
        <v>2</v>
      </c>
      <c r="AX34" s="1990">
        <f t="shared" si="15"/>
        <v>1</v>
      </c>
      <c r="AY34" s="1989">
        <v>1</v>
      </c>
      <c r="AZ34" s="1990">
        <f t="shared" si="11"/>
        <v>0.5</v>
      </c>
      <c r="BA34" s="1990">
        <f t="shared" si="12"/>
        <v>0.08333333333333333</v>
      </c>
      <c r="BB34" s="1990">
        <f>5/12</f>
        <v>0.4166666666666667</v>
      </c>
      <c r="BC34" s="2300">
        <v>0</v>
      </c>
      <c r="BD34" s="1989" t="s">
        <v>1090</v>
      </c>
      <c r="BE34" s="2084">
        <v>5</v>
      </c>
      <c r="BF34" s="2084" t="s">
        <v>2580</v>
      </c>
      <c r="BG34" s="2497">
        <f t="shared" si="13"/>
        <v>8</v>
      </c>
      <c r="BH34" s="2498">
        <f t="shared" si="14"/>
        <v>1</v>
      </c>
      <c r="BI34" s="2405">
        <v>7</v>
      </c>
      <c r="BJ34" s="2336">
        <f>BI34/BG34</f>
        <v>0.875</v>
      </c>
      <c r="BK34" s="2336"/>
      <c r="BL34" s="2336">
        <f t="shared" si="18"/>
        <v>0.5833333333333334</v>
      </c>
      <c r="BM34" s="2338"/>
      <c r="BN34" s="2337"/>
      <c r="BO34" s="2339"/>
      <c r="BP34" s="2339" t="s">
        <v>3036</v>
      </c>
    </row>
    <row r="35" spans="1:68" s="455" customFormat="1" ht="42.75" customHeight="1" thickBot="1">
      <c r="A35" s="2896"/>
      <c r="B35" s="2897"/>
      <c r="C35" s="2885"/>
      <c r="D35" s="1802" t="s">
        <v>2314</v>
      </c>
      <c r="E35" s="1791" t="s">
        <v>999</v>
      </c>
      <c r="F35" s="1792">
        <v>12</v>
      </c>
      <c r="G35" s="1793" t="s">
        <v>1000</v>
      </c>
      <c r="H35" s="1798" t="s">
        <v>2315</v>
      </c>
      <c r="I35" s="453">
        <v>0.015873015873015872</v>
      </c>
      <c r="J35" s="1793" t="s">
        <v>154</v>
      </c>
      <c r="K35" s="1794">
        <v>42005</v>
      </c>
      <c r="L35" s="1794">
        <v>42369</v>
      </c>
      <c r="M35" s="1797">
        <v>1</v>
      </c>
      <c r="N35" s="1797">
        <v>1</v>
      </c>
      <c r="O35" s="1797">
        <v>1</v>
      </c>
      <c r="P35" s="1797">
        <v>1</v>
      </c>
      <c r="Q35" s="1797">
        <v>1</v>
      </c>
      <c r="R35" s="1797">
        <v>1</v>
      </c>
      <c r="S35" s="1797">
        <v>1</v>
      </c>
      <c r="T35" s="1797">
        <v>1</v>
      </c>
      <c r="U35" s="1797">
        <v>1</v>
      </c>
      <c r="V35" s="1797">
        <v>1</v>
      </c>
      <c r="W35" s="1797">
        <v>1</v>
      </c>
      <c r="X35" s="1797">
        <v>1</v>
      </c>
      <c r="Y35" s="1796">
        <f t="shared" si="1"/>
        <v>12</v>
      </c>
      <c r="Z35" s="454">
        <v>0</v>
      </c>
      <c r="AA35" s="1790" t="s">
        <v>1090</v>
      </c>
      <c r="AB35" s="1378">
        <f t="shared" si="2"/>
        <v>2</v>
      </c>
      <c r="AC35" s="1311">
        <f t="shared" si="3"/>
        <v>1</v>
      </c>
      <c r="AD35" s="1509">
        <v>2</v>
      </c>
      <c r="AE35" s="1311">
        <f t="shared" si="16"/>
        <v>1</v>
      </c>
      <c r="AF35" s="1311">
        <f t="shared" si="4"/>
        <v>0.16666666666666666</v>
      </c>
      <c r="AG35" s="1371">
        <f t="shared" si="5"/>
        <v>0.16666666666666666</v>
      </c>
      <c r="AH35" s="1371">
        <v>16.666666666666668</v>
      </c>
      <c r="AI35" s="1378">
        <v>0</v>
      </c>
      <c r="AJ35" s="1371" t="e">
        <v>#DIV/0!</v>
      </c>
      <c r="AK35" s="1378"/>
      <c r="AL35" s="1378"/>
      <c r="AM35" s="1831">
        <f t="shared" si="6"/>
        <v>4</v>
      </c>
      <c r="AN35" s="1699">
        <f t="shared" si="7"/>
        <v>1</v>
      </c>
      <c r="AO35" s="1697">
        <v>0</v>
      </c>
      <c r="AP35" s="1699">
        <f t="shared" si="8"/>
        <v>0</v>
      </c>
      <c r="AQ35" s="1699">
        <f t="shared" si="9"/>
        <v>0</v>
      </c>
      <c r="AR35" s="1699">
        <f t="shared" si="0"/>
        <v>0</v>
      </c>
      <c r="AS35" s="1743">
        <v>0</v>
      </c>
      <c r="AT35" s="1699">
        <v>0</v>
      </c>
      <c r="AU35" s="1692"/>
      <c r="AV35" s="1692"/>
      <c r="AW35" s="2066">
        <f t="shared" si="10"/>
        <v>2</v>
      </c>
      <c r="AX35" s="1990">
        <f t="shared" si="15"/>
        <v>1</v>
      </c>
      <c r="AY35" s="1989">
        <v>2</v>
      </c>
      <c r="AZ35" s="1990">
        <f t="shared" si="11"/>
        <v>1</v>
      </c>
      <c r="BA35" s="1990">
        <f t="shared" si="12"/>
        <v>0.16666666666666666</v>
      </c>
      <c r="BB35" s="1990">
        <f>4/12</f>
        <v>0.3333333333333333</v>
      </c>
      <c r="BC35" s="2300">
        <v>0</v>
      </c>
      <c r="BD35" s="1989" t="s">
        <v>1090</v>
      </c>
      <c r="BE35" s="2084"/>
      <c r="BF35" s="2084"/>
      <c r="BG35" s="2497">
        <f t="shared" si="13"/>
        <v>8</v>
      </c>
      <c r="BH35" s="2498">
        <f t="shared" si="14"/>
        <v>1</v>
      </c>
      <c r="BI35" s="2405">
        <v>5</v>
      </c>
      <c r="BJ35" s="2336">
        <f>BI35/BG35</f>
        <v>0.625</v>
      </c>
      <c r="BK35" s="2336"/>
      <c r="BL35" s="2336">
        <f t="shared" si="18"/>
        <v>0.4166666666666667</v>
      </c>
      <c r="BM35" s="2338"/>
      <c r="BN35" s="2337"/>
      <c r="BO35" s="2339" t="s">
        <v>3037</v>
      </c>
      <c r="BP35" s="2339"/>
    </row>
    <row r="36" spans="1:68" s="455" customFormat="1" ht="330.75" thickBot="1">
      <c r="A36" s="2896"/>
      <c r="B36" s="2897"/>
      <c r="C36" s="2886"/>
      <c r="D36" s="1801" t="s">
        <v>1001</v>
      </c>
      <c r="E36" s="1791" t="s">
        <v>1002</v>
      </c>
      <c r="F36" s="1792">
        <v>6</v>
      </c>
      <c r="G36" s="1793" t="s">
        <v>1003</v>
      </c>
      <c r="H36" s="1798" t="s">
        <v>1968</v>
      </c>
      <c r="I36" s="453">
        <v>0.015873015873015872</v>
      </c>
      <c r="J36" s="1793"/>
      <c r="K36" s="1794">
        <v>42005</v>
      </c>
      <c r="L36" s="1794">
        <v>42369</v>
      </c>
      <c r="M36" s="1797"/>
      <c r="N36" s="1797">
        <v>1</v>
      </c>
      <c r="O36" s="1797"/>
      <c r="P36" s="1797">
        <v>1</v>
      </c>
      <c r="Q36" s="1797"/>
      <c r="R36" s="1797">
        <v>1</v>
      </c>
      <c r="S36" s="1797"/>
      <c r="T36" s="1797">
        <v>1</v>
      </c>
      <c r="U36" s="1797"/>
      <c r="V36" s="1797">
        <v>1</v>
      </c>
      <c r="W36" s="1797"/>
      <c r="X36" s="1797">
        <v>1</v>
      </c>
      <c r="Y36" s="1796">
        <f t="shared" si="1"/>
        <v>6</v>
      </c>
      <c r="Z36" s="454">
        <v>0</v>
      </c>
      <c r="AA36" s="1790" t="s">
        <v>1090</v>
      </c>
      <c r="AB36" s="1378">
        <f t="shared" si="2"/>
        <v>1</v>
      </c>
      <c r="AC36" s="1311">
        <f t="shared" si="3"/>
        <v>1</v>
      </c>
      <c r="AD36" s="1509">
        <v>1</v>
      </c>
      <c r="AE36" s="1311">
        <f t="shared" si="16"/>
        <v>1</v>
      </c>
      <c r="AF36" s="1311">
        <f t="shared" si="4"/>
        <v>0.16666666666666666</v>
      </c>
      <c r="AG36" s="1371">
        <f t="shared" si="5"/>
        <v>0.16666666666666666</v>
      </c>
      <c r="AH36" s="1371">
        <v>16.666666666666668</v>
      </c>
      <c r="AI36" s="1378">
        <v>0</v>
      </c>
      <c r="AJ36" s="1371" t="e">
        <v>#DIV/0!</v>
      </c>
      <c r="AK36" s="1378"/>
      <c r="AL36" s="1378"/>
      <c r="AM36" s="1831">
        <f t="shared" si="6"/>
        <v>2</v>
      </c>
      <c r="AN36" s="1699">
        <f t="shared" si="7"/>
        <v>1</v>
      </c>
      <c r="AO36" s="1697">
        <v>2</v>
      </c>
      <c r="AP36" s="1699">
        <f t="shared" si="8"/>
        <v>1</v>
      </c>
      <c r="AQ36" s="1699">
        <f t="shared" si="9"/>
        <v>0.3333333333333333</v>
      </c>
      <c r="AR36" s="1699">
        <f t="shared" si="0"/>
        <v>1</v>
      </c>
      <c r="AS36" s="1743">
        <v>0</v>
      </c>
      <c r="AT36" s="1699">
        <v>0</v>
      </c>
      <c r="AU36" s="1692" t="s">
        <v>2316</v>
      </c>
      <c r="AV36" s="1692" t="s">
        <v>2317</v>
      </c>
      <c r="AW36" s="2066">
        <f t="shared" si="10"/>
        <v>1</v>
      </c>
      <c r="AX36" s="1990">
        <f t="shared" si="15"/>
        <v>1</v>
      </c>
      <c r="AY36" s="1989">
        <v>1</v>
      </c>
      <c r="AZ36" s="1990">
        <f t="shared" si="11"/>
        <v>1</v>
      </c>
      <c r="BA36" s="1990">
        <f t="shared" si="12"/>
        <v>0.16666666666666666</v>
      </c>
      <c r="BB36" s="1990">
        <f>4/6</f>
        <v>0.6666666666666666</v>
      </c>
      <c r="BC36" s="2300">
        <v>0</v>
      </c>
      <c r="BD36" s="1989" t="s">
        <v>1090</v>
      </c>
      <c r="BE36" s="2084"/>
      <c r="BF36" s="2084"/>
      <c r="BG36" s="2497">
        <f t="shared" si="13"/>
        <v>4</v>
      </c>
      <c r="BH36" s="2498">
        <f t="shared" si="14"/>
        <v>1</v>
      </c>
      <c r="BI36" s="2405">
        <v>4</v>
      </c>
      <c r="BJ36" s="2336">
        <v>1</v>
      </c>
      <c r="BK36" s="2336"/>
      <c r="BL36" s="2336">
        <f t="shared" si="18"/>
        <v>0.6666666666666666</v>
      </c>
      <c r="BM36" s="2338"/>
      <c r="BN36" s="2337"/>
      <c r="BO36" s="2339"/>
      <c r="BP36" s="2339"/>
    </row>
    <row r="37" spans="1:68" s="455" customFormat="1" ht="64.5" thickBot="1">
      <c r="A37" s="2896"/>
      <c r="B37" s="2897"/>
      <c r="C37" s="2893" t="s">
        <v>1004</v>
      </c>
      <c r="D37" s="1801" t="s">
        <v>1005</v>
      </c>
      <c r="E37" s="1791" t="s">
        <v>978</v>
      </c>
      <c r="F37" s="1792">
        <v>12</v>
      </c>
      <c r="G37" s="1793" t="s">
        <v>1006</v>
      </c>
      <c r="H37" s="1798" t="s">
        <v>1832</v>
      </c>
      <c r="I37" s="453">
        <v>0.015873015873015872</v>
      </c>
      <c r="J37" s="1793" t="s">
        <v>948</v>
      </c>
      <c r="K37" s="1794">
        <v>42005</v>
      </c>
      <c r="L37" s="1794">
        <v>42369</v>
      </c>
      <c r="M37" s="1797">
        <v>1</v>
      </c>
      <c r="N37" s="1797">
        <v>1</v>
      </c>
      <c r="O37" s="1797">
        <v>1</v>
      </c>
      <c r="P37" s="1797">
        <v>1</v>
      </c>
      <c r="Q37" s="1797">
        <v>1</v>
      </c>
      <c r="R37" s="1797">
        <v>1</v>
      </c>
      <c r="S37" s="1797">
        <v>1</v>
      </c>
      <c r="T37" s="1797">
        <v>1</v>
      </c>
      <c r="U37" s="1797">
        <v>1</v>
      </c>
      <c r="V37" s="1797">
        <v>1</v>
      </c>
      <c r="W37" s="1797">
        <v>1</v>
      </c>
      <c r="X37" s="1797">
        <v>1</v>
      </c>
      <c r="Y37" s="1796">
        <f t="shared" si="1"/>
        <v>12</v>
      </c>
      <c r="Z37" s="454">
        <v>0</v>
      </c>
      <c r="AA37" s="1790" t="s">
        <v>1090</v>
      </c>
      <c r="AB37" s="1378">
        <f t="shared" si="2"/>
        <v>2</v>
      </c>
      <c r="AC37" s="1311">
        <f t="shared" si="3"/>
        <v>1</v>
      </c>
      <c r="AD37" s="1509">
        <v>2</v>
      </c>
      <c r="AE37" s="1311">
        <f t="shared" si="16"/>
        <v>1</v>
      </c>
      <c r="AF37" s="1311">
        <f t="shared" si="4"/>
        <v>0.16666666666666666</v>
      </c>
      <c r="AG37" s="1371">
        <f t="shared" si="5"/>
        <v>0.16666666666666666</v>
      </c>
      <c r="AH37" s="1371">
        <v>16.666666666666668</v>
      </c>
      <c r="AI37" s="1378">
        <v>0</v>
      </c>
      <c r="AJ37" s="1371" t="e">
        <v>#DIV/0!</v>
      </c>
      <c r="AK37" s="1378" t="s">
        <v>1797</v>
      </c>
      <c r="AL37" s="1378"/>
      <c r="AM37" s="1831">
        <f t="shared" si="6"/>
        <v>4</v>
      </c>
      <c r="AN37" s="1699">
        <f t="shared" si="7"/>
        <v>1</v>
      </c>
      <c r="AO37" s="1697">
        <v>4</v>
      </c>
      <c r="AP37" s="1699">
        <f t="shared" si="8"/>
        <v>1</v>
      </c>
      <c r="AQ37" s="1699">
        <f t="shared" si="9"/>
        <v>0.3333333333333333</v>
      </c>
      <c r="AR37" s="1699">
        <f t="shared" si="0"/>
        <v>1</v>
      </c>
      <c r="AS37" s="1743">
        <v>0</v>
      </c>
      <c r="AT37" s="1699">
        <v>0</v>
      </c>
      <c r="AU37" s="1692" t="s">
        <v>2318</v>
      </c>
      <c r="AV37" s="1692"/>
      <c r="AW37" s="2066">
        <f t="shared" si="10"/>
        <v>2</v>
      </c>
      <c r="AX37" s="1990">
        <f t="shared" si="15"/>
        <v>1</v>
      </c>
      <c r="AY37" s="1989">
        <v>2</v>
      </c>
      <c r="AZ37" s="1990">
        <f t="shared" si="11"/>
        <v>1</v>
      </c>
      <c r="BA37" s="1990">
        <f t="shared" si="12"/>
        <v>0.16666666666666666</v>
      </c>
      <c r="BB37" s="1990">
        <v>0.5</v>
      </c>
      <c r="BC37" s="2300">
        <v>0</v>
      </c>
      <c r="BD37" s="1989" t="s">
        <v>1090</v>
      </c>
      <c r="BE37" s="2084" t="s">
        <v>2581</v>
      </c>
      <c r="BF37" s="2084" t="s">
        <v>2582</v>
      </c>
      <c r="BG37" s="2497">
        <f t="shared" si="13"/>
        <v>8</v>
      </c>
      <c r="BH37" s="2498">
        <f t="shared" si="14"/>
        <v>1</v>
      </c>
      <c r="BI37" s="2405">
        <v>8</v>
      </c>
      <c r="BJ37" s="2336">
        <v>1</v>
      </c>
      <c r="BK37" s="2336"/>
      <c r="BL37" s="2336">
        <f t="shared" si="18"/>
        <v>0.6666666666666666</v>
      </c>
      <c r="BM37" s="2338"/>
      <c r="BN37" s="2337"/>
      <c r="BO37" s="2339" t="s">
        <v>3038</v>
      </c>
      <c r="BP37" s="2339" t="s">
        <v>2582</v>
      </c>
    </row>
    <row r="38" spans="1:68" s="455" customFormat="1" ht="116.25" thickBot="1">
      <c r="A38" s="2896"/>
      <c r="B38" s="2897"/>
      <c r="C38" s="2893"/>
      <c r="D38" s="1801" t="s">
        <v>1007</v>
      </c>
      <c r="E38" s="1791" t="s">
        <v>978</v>
      </c>
      <c r="F38" s="1792">
        <v>12</v>
      </c>
      <c r="G38" s="1793" t="s">
        <v>1006</v>
      </c>
      <c r="H38" s="1798" t="s">
        <v>1832</v>
      </c>
      <c r="I38" s="453">
        <v>0.015873015873015872</v>
      </c>
      <c r="J38" s="1793" t="s">
        <v>948</v>
      </c>
      <c r="K38" s="1794">
        <v>42005</v>
      </c>
      <c r="L38" s="1794">
        <v>42369</v>
      </c>
      <c r="M38" s="1797">
        <v>1</v>
      </c>
      <c r="N38" s="1797">
        <v>1</v>
      </c>
      <c r="O38" s="1797">
        <v>1</v>
      </c>
      <c r="P38" s="1797">
        <v>1</v>
      </c>
      <c r="Q38" s="1797">
        <v>1</v>
      </c>
      <c r="R38" s="1797">
        <v>1</v>
      </c>
      <c r="S38" s="1797">
        <v>1</v>
      </c>
      <c r="T38" s="1797">
        <v>1</v>
      </c>
      <c r="U38" s="1797">
        <v>1</v>
      </c>
      <c r="V38" s="1797">
        <v>1</v>
      </c>
      <c r="W38" s="1797">
        <v>1</v>
      </c>
      <c r="X38" s="1797">
        <v>1</v>
      </c>
      <c r="Y38" s="1796">
        <f t="shared" si="1"/>
        <v>12</v>
      </c>
      <c r="Z38" s="454">
        <v>0</v>
      </c>
      <c r="AA38" s="1790" t="s">
        <v>1090</v>
      </c>
      <c r="AB38" s="1378">
        <f t="shared" si="2"/>
        <v>2</v>
      </c>
      <c r="AC38" s="1311">
        <f t="shared" si="3"/>
        <v>1</v>
      </c>
      <c r="AD38" s="1509">
        <v>2</v>
      </c>
      <c r="AE38" s="1311">
        <f t="shared" si="16"/>
        <v>1</v>
      </c>
      <c r="AF38" s="1311">
        <f t="shared" si="4"/>
        <v>0.16666666666666666</v>
      </c>
      <c r="AG38" s="1371">
        <f t="shared" si="5"/>
        <v>0.16666666666666666</v>
      </c>
      <c r="AH38" s="1371">
        <v>16.666666666666668</v>
      </c>
      <c r="AI38" s="1378">
        <v>0</v>
      </c>
      <c r="AJ38" s="1371" t="e">
        <v>#DIV/0!</v>
      </c>
      <c r="AK38" s="1378" t="s">
        <v>1798</v>
      </c>
      <c r="AL38" s="1378"/>
      <c r="AM38" s="1831">
        <f t="shared" si="6"/>
        <v>4</v>
      </c>
      <c r="AN38" s="1699">
        <f t="shared" si="7"/>
        <v>1</v>
      </c>
      <c r="AO38" s="1697">
        <v>4</v>
      </c>
      <c r="AP38" s="1699">
        <f t="shared" si="8"/>
        <v>1</v>
      </c>
      <c r="AQ38" s="1699">
        <f t="shared" si="9"/>
        <v>0.3333333333333333</v>
      </c>
      <c r="AR38" s="1699">
        <f t="shared" si="0"/>
        <v>1</v>
      </c>
      <c r="AS38" s="1743">
        <v>0</v>
      </c>
      <c r="AT38" s="1699">
        <v>0</v>
      </c>
      <c r="AU38" s="1692" t="s">
        <v>2319</v>
      </c>
      <c r="AV38" s="1692" t="s">
        <v>2320</v>
      </c>
      <c r="AW38" s="2066">
        <f t="shared" si="10"/>
        <v>2</v>
      </c>
      <c r="AX38" s="1990">
        <f t="shared" si="15"/>
        <v>1</v>
      </c>
      <c r="AY38" s="1989">
        <v>2</v>
      </c>
      <c r="AZ38" s="1990">
        <f t="shared" si="11"/>
        <v>1</v>
      </c>
      <c r="BA38" s="1990">
        <f t="shared" si="12"/>
        <v>0.16666666666666666</v>
      </c>
      <c r="BB38" s="1990">
        <v>0.5</v>
      </c>
      <c r="BC38" s="2300">
        <v>0</v>
      </c>
      <c r="BD38" s="1989" t="s">
        <v>1090</v>
      </c>
      <c r="BE38" s="2084" t="s">
        <v>2583</v>
      </c>
      <c r="BF38" s="2084"/>
      <c r="BG38" s="2497">
        <f t="shared" si="13"/>
        <v>8</v>
      </c>
      <c r="BH38" s="2498">
        <f t="shared" si="14"/>
        <v>1</v>
      </c>
      <c r="BI38" s="2405">
        <v>8</v>
      </c>
      <c r="BJ38" s="2336">
        <v>1</v>
      </c>
      <c r="BK38" s="2336"/>
      <c r="BL38" s="2336">
        <f t="shared" si="18"/>
        <v>0.6666666666666666</v>
      </c>
      <c r="BM38" s="2338"/>
      <c r="BN38" s="2337"/>
      <c r="BO38" s="2339" t="s">
        <v>3039</v>
      </c>
      <c r="BP38" s="2339"/>
    </row>
    <row r="39" spans="1:68" s="455" customFormat="1" ht="70.5" customHeight="1" thickBot="1">
      <c r="A39" s="2896"/>
      <c r="B39" s="2897"/>
      <c r="C39" s="2893"/>
      <c r="D39" s="1801" t="s">
        <v>1008</v>
      </c>
      <c r="E39" s="1791" t="s">
        <v>978</v>
      </c>
      <c r="F39" s="1792">
        <v>12</v>
      </c>
      <c r="G39" s="1793" t="s">
        <v>1009</v>
      </c>
      <c r="H39" s="1798" t="s">
        <v>1830</v>
      </c>
      <c r="I39" s="453">
        <v>0.015873015873015872</v>
      </c>
      <c r="J39" s="1793" t="s">
        <v>948</v>
      </c>
      <c r="K39" s="1794">
        <v>42005</v>
      </c>
      <c r="L39" s="1794">
        <v>42369</v>
      </c>
      <c r="M39" s="1797">
        <v>1</v>
      </c>
      <c r="N39" s="1797">
        <v>1</v>
      </c>
      <c r="O39" s="1797">
        <v>1</v>
      </c>
      <c r="P39" s="1797">
        <v>1</v>
      </c>
      <c r="Q39" s="1797">
        <v>1</v>
      </c>
      <c r="R39" s="1797">
        <v>1</v>
      </c>
      <c r="S39" s="1797">
        <v>1</v>
      </c>
      <c r="T39" s="1797">
        <v>1</v>
      </c>
      <c r="U39" s="1797">
        <v>1</v>
      </c>
      <c r="V39" s="1797">
        <v>1</v>
      </c>
      <c r="W39" s="1797">
        <v>1</v>
      </c>
      <c r="X39" s="1797">
        <v>1</v>
      </c>
      <c r="Y39" s="1796">
        <f t="shared" si="1"/>
        <v>12</v>
      </c>
      <c r="Z39" s="454">
        <v>0</v>
      </c>
      <c r="AA39" s="1790" t="s">
        <v>1090</v>
      </c>
      <c r="AB39" s="1378">
        <f t="shared" si="2"/>
        <v>2</v>
      </c>
      <c r="AC39" s="1311">
        <f t="shared" si="3"/>
        <v>1</v>
      </c>
      <c r="AD39" s="1509">
        <v>2</v>
      </c>
      <c r="AE39" s="1311">
        <f t="shared" si="16"/>
        <v>1</v>
      </c>
      <c r="AF39" s="1311">
        <f t="shared" si="4"/>
        <v>0.16666666666666666</v>
      </c>
      <c r="AG39" s="1371">
        <f t="shared" si="5"/>
        <v>0.16666666666666666</v>
      </c>
      <c r="AH39" s="1371">
        <v>16.666666666666668</v>
      </c>
      <c r="AI39" s="1378">
        <v>6323528</v>
      </c>
      <c r="AJ39" s="1371" t="e">
        <v>#DIV/0!</v>
      </c>
      <c r="AK39" s="1378" t="s">
        <v>1799</v>
      </c>
      <c r="AL39" s="1378"/>
      <c r="AM39" s="1831">
        <f t="shared" si="6"/>
        <v>4</v>
      </c>
      <c r="AN39" s="1699">
        <f t="shared" si="7"/>
        <v>1</v>
      </c>
      <c r="AO39" s="1697">
        <v>2</v>
      </c>
      <c r="AP39" s="1699">
        <f t="shared" si="8"/>
        <v>0.5</v>
      </c>
      <c r="AQ39" s="1699">
        <f t="shared" si="9"/>
        <v>0.16666666666666666</v>
      </c>
      <c r="AR39" s="1699">
        <f t="shared" si="0"/>
        <v>0.5</v>
      </c>
      <c r="AS39" s="1743">
        <v>0</v>
      </c>
      <c r="AT39" s="1699">
        <v>0</v>
      </c>
      <c r="AU39" s="1692" t="s">
        <v>2321</v>
      </c>
      <c r="AV39" s="1692"/>
      <c r="AW39" s="2066">
        <f t="shared" si="10"/>
        <v>2</v>
      </c>
      <c r="AX39" s="1990">
        <f t="shared" si="15"/>
        <v>1</v>
      </c>
      <c r="AY39" s="1989">
        <v>1</v>
      </c>
      <c r="AZ39" s="1990">
        <f t="shared" si="11"/>
        <v>0.5</v>
      </c>
      <c r="BA39" s="1990">
        <f t="shared" si="12"/>
        <v>0.08333333333333333</v>
      </c>
      <c r="BB39" s="1990">
        <f>5/12</f>
        <v>0.4166666666666667</v>
      </c>
      <c r="BC39" s="2300">
        <v>0</v>
      </c>
      <c r="BD39" s="1989" t="s">
        <v>1090</v>
      </c>
      <c r="BE39" s="2084">
        <v>124</v>
      </c>
      <c r="BF39" s="2084" t="s">
        <v>2584</v>
      </c>
      <c r="BG39" s="2497">
        <f t="shared" si="13"/>
        <v>8</v>
      </c>
      <c r="BH39" s="2498">
        <f t="shared" si="14"/>
        <v>1</v>
      </c>
      <c r="BI39" s="2405">
        <v>7</v>
      </c>
      <c r="BJ39" s="2336">
        <f>BI39/BG39</f>
        <v>0.875</v>
      </c>
      <c r="BK39" s="2336"/>
      <c r="BL39" s="2336">
        <f t="shared" si="18"/>
        <v>0.5833333333333334</v>
      </c>
      <c r="BM39" s="2338"/>
      <c r="BN39" s="2337"/>
      <c r="BO39" s="2339" t="s">
        <v>3040</v>
      </c>
      <c r="BP39" s="2339"/>
    </row>
    <row r="40" spans="1:68" s="1808" customFormat="1" ht="51.75" thickBot="1">
      <c r="A40" s="2896"/>
      <c r="B40" s="2897"/>
      <c r="C40" s="2893"/>
      <c r="D40" s="994" t="s">
        <v>2322</v>
      </c>
      <c r="E40" s="911" t="s">
        <v>2323</v>
      </c>
      <c r="F40" s="1803" t="s">
        <v>1014</v>
      </c>
      <c r="G40" s="1804" t="s">
        <v>2324</v>
      </c>
      <c r="H40" s="1798" t="s">
        <v>1830</v>
      </c>
      <c r="I40" s="1805">
        <v>0.015873015873015872</v>
      </c>
      <c r="J40" s="1423" t="s">
        <v>2325</v>
      </c>
      <c r="K40" s="1422">
        <v>42005</v>
      </c>
      <c r="L40" s="1422">
        <v>42369</v>
      </c>
      <c r="M40" s="1806"/>
      <c r="N40" s="1806"/>
      <c r="O40" s="1806"/>
      <c r="P40" s="1806"/>
      <c r="Q40" s="1806"/>
      <c r="R40" s="1806"/>
      <c r="S40" s="1806"/>
      <c r="T40" s="1806"/>
      <c r="U40" s="1806"/>
      <c r="V40" s="1806"/>
      <c r="W40" s="1806"/>
      <c r="X40" s="1806"/>
      <c r="Y40" s="1803" t="s">
        <v>1014</v>
      </c>
      <c r="Z40" s="1807">
        <v>0</v>
      </c>
      <c r="AA40" s="1771"/>
      <c r="AB40" s="1378"/>
      <c r="AC40" s="1311"/>
      <c r="AD40" s="1509"/>
      <c r="AE40" s="1311"/>
      <c r="AF40" s="1311"/>
      <c r="AG40" s="1371"/>
      <c r="AH40" s="1371"/>
      <c r="AI40" s="1378"/>
      <c r="AJ40" s="1371"/>
      <c r="AK40" s="1378" t="s">
        <v>1801</v>
      </c>
      <c r="AL40" s="1378"/>
      <c r="AM40" s="1831">
        <f t="shared" si="6"/>
        <v>0</v>
      </c>
      <c r="AN40" s="1699">
        <f t="shared" si="7"/>
        <v>0</v>
      </c>
      <c r="AO40" s="1832">
        <v>0</v>
      </c>
      <c r="AP40" s="1699" t="s">
        <v>1090</v>
      </c>
      <c r="AQ40" s="1699" t="s">
        <v>1090</v>
      </c>
      <c r="AR40" s="1699" t="str">
        <f t="shared" si="0"/>
        <v>-</v>
      </c>
      <c r="AS40" s="1743">
        <v>0</v>
      </c>
      <c r="AT40" s="1699">
        <v>0</v>
      </c>
      <c r="AU40" s="1692" t="s">
        <v>2326</v>
      </c>
      <c r="AV40" s="1692"/>
      <c r="AW40" s="2066">
        <f t="shared" si="10"/>
        <v>0</v>
      </c>
      <c r="AX40" s="1990">
        <f t="shared" si="15"/>
        <v>0</v>
      </c>
      <c r="AY40" s="1989">
        <v>5</v>
      </c>
      <c r="AZ40" s="1990" t="s">
        <v>1090</v>
      </c>
      <c r="BA40" s="1990" t="s">
        <v>1090</v>
      </c>
      <c r="BB40" s="1990" t="s">
        <v>1090</v>
      </c>
      <c r="BC40" s="2300">
        <v>0</v>
      </c>
      <c r="BD40" s="1989" t="s">
        <v>1090</v>
      </c>
      <c r="BE40" s="2084">
        <f>11+109</f>
        <v>120</v>
      </c>
      <c r="BF40" s="2084" t="s">
        <v>2585</v>
      </c>
      <c r="BG40" s="2497">
        <f t="shared" si="13"/>
        <v>0</v>
      </c>
      <c r="BH40" s="2498">
        <f t="shared" si="14"/>
        <v>0</v>
      </c>
      <c r="BI40" s="2405" t="s">
        <v>1090</v>
      </c>
      <c r="BJ40" s="2336" t="s">
        <v>1090</v>
      </c>
      <c r="BK40" s="2336"/>
      <c r="BL40" s="2336" t="s">
        <v>1090</v>
      </c>
      <c r="BM40" s="2338"/>
      <c r="BN40" s="2337"/>
      <c r="BO40" s="2339" t="s">
        <v>3041</v>
      </c>
      <c r="BP40" s="2339"/>
    </row>
    <row r="41" spans="1:68" s="455" customFormat="1" ht="64.5" thickBot="1">
      <c r="A41" s="2896"/>
      <c r="B41" s="2897"/>
      <c r="C41" s="2893"/>
      <c r="D41" s="1801" t="s">
        <v>1010</v>
      </c>
      <c r="E41" s="1791" t="s">
        <v>978</v>
      </c>
      <c r="F41" s="1792">
        <v>12</v>
      </c>
      <c r="G41" s="1793" t="s">
        <v>1011</v>
      </c>
      <c r="H41" s="1798" t="s">
        <v>1830</v>
      </c>
      <c r="I41" s="453">
        <v>0.015873015873015872</v>
      </c>
      <c r="J41" s="1793" t="s">
        <v>948</v>
      </c>
      <c r="K41" s="1794">
        <v>42005</v>
      </c>
      <c r="L41" s="1794">
        <v>42369</v>
      </c>
      <c r="M41" s="1797">
        <v>1</v>
      </c>
      <c r="N41" s="1797">
        <v>1</v>
      </c>
      <c r="O41" s="1797">
        <v>1</v>
      </c>
      <c r="P41" s="1797">
        <v>1</v>
      </c>
      <c r="Q41" s="1797">
        <v>1</v>
      </c>
      <c r="R41" s="1797">
        <v>1</v>
      </c>
      <c r="S41" s="1797">
        <v>1</v>
      </c>
      <c r="T41" s="1797">
        <v>1</v>
      </c>
      <c r="U41" s="1797">
        <v>1</v>
      </c>
      <c r="V41" s="1797">
        <v>1</v>
      </c>
      <c r="W41" s="1797">
        <v>1</v>
      </c>
      <c r="X41" s="1797">
        <v>1</v>
      </c>
      <c r="Y41" s="1796">
        <f t="shared" si="1"/>
        <v>12</v>
      </c>
      <c r="Z41" s="454">
        <v>0</v>
      </c>
      <c r="AA41" s="1790" t="s">
        <v>1090</v>
      </c>
      <c r="AB41" s="1378">
        <f t="shared" si="2"/>
        <v>2</v>
      </c>
      <c r="AC41" s="1311">
        <f t="shared" si="3"/>
        <v>1</v>
      </c>
      <c r="AD41" s="1509">
        <v>2</v>
      </c>
      <c r="AE41" s="1311">
        <f t="shared" si="16"/>
        <v>1</v>
      </c>
      <c r="AF41" s="1311">
        <f t="shared" si="4"/>
        <v>0.16666666666666666</v>
      </c>
      <c r="AG41" s="1371">
        <f t="shared" si="5"/>
        <v>0.16666666666666666</v>
      </c>
      <c r="AH41" s="1371" t="e">
        <v>#VALUE!</v>
      </c>
      <c r="AI41" s="1378" t="s">
        <v>1800</v>
      </c>
      <c r="AJ41" s="1371" t="e">
        <v>#VALUE!</v>
      </c>
      <c r="AK41" s="1378" t="s">
        <v>1802</v>
      </c>
      <c r="AL41" s="1378"/>
      <c r="AM41" s="1831">
        <f t="shared" si="6"/>
        <v>4</v>
      </c>
      <c r="AN41" s="1699">
        <f t="shared" si="7"/>
        <v>1</v>
      </c>
      <c r="AO41" s="1697">
        <v>0</v>
      </c>
      <c r="AP41" s="1699">
        <f t="shared" si="8"/>
        <v>0</v>
      </c>
      <c r="AQ41" s="1699">
        <f t="shared" si="9"/>
        <v>0</v>
      </c>
      <c r="AR41" s="1699">
        <f t="shared" si="0"/>
        <v>0</v>
      </c>
      <c r="AS41" s="1743">
        <v>0</v>
      </c>
      <c r="AT41" s="1699">
        <v>0</v>
      </c>
      <c r="AU41" s="1692" t="s">
        <v>2327</v>
      </c>
      <c r="AV41" s="1692"/>
      <c r="AW41" s="2066">
        <f t="shared" si="10"/>
        <v>2</v>
      </c>
      <c r="AX41" s="1990">
        <f t="shared" si="15"/>
        <v>1</v>
      </c>
      <c r="AY41" s="1989">
        <v>1</v>
      </c>
      <c r="AZ41" s="1990">
        <f t="shared" si="11"/>
        <v>0.5</v>
      </c>
      <c r="BA41" s="1990">
        <f t="shared" si="12"/>
        <v>0.08333333333333333</v>
      </c>
      <c r="BB41" s="1990">
        <f>3/12</f>
        <v>0.25</v>
      </c>
      <c r="BC41" s="2300">
        <v>0</v>
      </c>
      <c r="BD41" s="1989" t="s">
        <v>1090</v>
      </c>
      <c r="BE41" s="2084">
        <v>120</v>
      </c>
      <c r="BF41" s="2084" t="s">
        <v>2586</v>
      </c>
      <c r="BG41" s="2497">
        <f t="shared" si="13"/>
        <v>8</v>
      </c>
      <c r="BH41" s="2498">
        <f t="shared" si="14"/>
        <v>1</v>
      </c>
      <c r="BI41" s="2405">
        <v>5</v>
      </c>
      <c r="BJ41" s="2336">
        <f>BI41/BG41</f>
        <v>0.625</v>
      </c>
      <c r="BK41" s="2336"/>
      <c r="BL41" s="2336">
        <f>BI41/Y41</f>
        <v>0.4166666666666667</v>
      </c>
      <c r="BM41" s="2338"/>
      <c r="BN41" s="2337"/>
      <c r="BO41" s="2339" t="s">
        <v>3042</v>
      </c>
      <c r="BP41" s="2339"/>
    </row>
    <row r="42" spans="1:68" s="455" customFormat="1" ht="64.5" thickBot="1">
      <c r="A42" s="2896"/>
      <c r="B42" s="2897"/>
      <c r="C42" s="2893"/>
      <c r="D42" s="1801" t="s">
        <v>1012</v>
      </c>
      <c r="E42" s="1791" t="s">
        <v>1013</v>
      </c>
      <c r="F42" s="1792" t="s">
        <v>1014</v>
      </c>
      <c r="G42" s="1793" t="s">
        <v>1015</v>
      </c>
      <c r="H42" s="1798" t="s">
        <v>1830</v>
      </c>
      <c r="I42" s="453">
        <v>0.015873015873015872</v>
      </c>
      <c r="J42" s="1793" t="s">
        <v>941</v>
      </c>
      <c r="K42" s="1794">
        <v>42005</v>
      </c>
      <c r="L42" s="1794">
        <v>42369</v>
      </c>
      <c r="M42" s="1797">
        <v>0</v>
      </c>
      <c r="N42" s="1797">
        <v>0</v>
      </c>
      <c r="O42" s="1797">
        <v>1</v>
      </c>
      <c r="P42" s="1797">
        <v>1</v>
      </c>
      <c r="Q42" s="1797">
        <v>1</v>
      </c>
      <c r="R42" s="1797">
        <v>1</v>
      </c>
      <c r="S42" s="1797">
        <v>1</v>
      </c>
      <c r="T42" s="1797">
        <v>1</v>
      </c>
      <c r="U42" s="1797">
        <v>1</v>
      </c>
      <c r="V42" s="1797">
        <v>1</v>
      </c>
      <c r="W42" s="1797">
        <v>1</v>
      </c>
      <c r="X42" s="1797">
        <v>0</v>
      </c>
      <c r="Y42" s="1796">
        <v>9</v>
      </c>
      <c r="Z42" s="454">
        <v>0</v>
      </c>
      <c r="AA42" s="1790" t="s">
        <v>1090</v>
      </c>
      <c r="AB42" s="1378">
        <f t="shared" si="2"/>
        <v>0</v>
      </c>
      <c r="AC42" s="1311">
        <f t="shared" si="3"/>
        <v>0</v>
      </c>
      <c r="AD42" s="1509">
        <v>0</v>
      </c>
      <c r="AE42" s="1311" t="s">
        <v>1090</v>
      </c>
      <c r="AF42" s="1311">
        <f t="shared" si="4"/>
        <v>0</v>
      </c>
      <c r="AG42" s="1371">
        <v>0</v>
      </c>
      <c r="AH42" s="1371">
        <v>16.666666666666668</v>
      </c>
      <c r="AI42" s="1378"/>
      <c r="AJ42" s="1371" t="e">
        <v>#DIV/0!</v>
      </c>
      <c r="AK42" s="1378" t="s">
        <v>1803</v>
      </c>
      <c r="AL42" s="1378"/>
      <c r="AM42" s="1831">
        <f t="shared" si="6"/>
        <v>2</v>
      </c>
      <c r="AN42" s="1699">
        <f t="shared" si="7"/>
        <v>1</v>
      </c>
      <c r="AO42" s="1697">
        <v>2</v>
      </c>
      <c r="AP42" s="1699">
        <f t="shared" si="8"/>
        <v>1</v>
      </c>
      <c r="AQ42" s="1699">
        <f t="shared" si="9"/>
        <v>0.2222222222222222</v>
      </c>
      <c r="AR42" s="1699">
        <f t="shared" si="0"/>
        <v>1</v>
      </c>
      <c r="AS42" s="1743">
        <v>0</v>
      </c>
      <c r="AT42" s="1699">
        <v>0</v>
      </c>
      <c r="AU42" s="1692" t="s">
        <v>2328</v>
      </c>
      <c r="AV42" s="1692"/>
      <c r="AW42" s="2066">
        <f t="shared" si="10"/>
        <v>2</v>
      </c>
      <c r="AX42" s="1990">
        <f t="shared" si="15"/>
        <v>1</v>
      </c>
      <c r="AY42" s="1989">
        <v>2</v>
      </c>
      <c r="AZ42" s="1990">
        <f t="shared" si="11"/>
        <v>1</v>
      </c>
      <c r="BA42" s="1990">
        <f t="shared" si="12"/>
        <v>0.2222222222222222</v>
      </c>
      <c r="BB42" s="1990">
        <f>4/9</f>
        <v>0.4444444444444444</v>
      </c>
      <c r="BC42" s="2300">
        <v>0</v>
      </c>
      <c r="BD42" s="1989" t="s">
        <v>1090</v>
      </c>
      <c r="BE42" s="2084">
        <v>4</v>
      </c>
      <c r="BF42" s="2084" t="s">
        <v>2587</v>
      </c>
      <c r="BG42" s="2497">
        <f t="shared" si="13"/>
        <v>6</v>
      </c>
      <c r="BH42" s="2498">
        <f t="shared" si="14"/>
        <v>1</v>
      </c>
      <c r="BI42" s="2405">
        <v>6</v>
      </c>
      <c r="BJ42" s="2336">
        <v>1</v>
      </c>
      <c r="BK42" s="2336"/>
      <c r="BL42" s="2336">
        <f>BI42/Y42</f>
        <v>0.6666666666666666</v>
      </c>
      <c r="BM42" s="2338"/>
      <c r="BN42" s="2337"/>
      <c r="BO42" s="2339" t="s">
        <v>3043</v>
      </c>
      <c r="BP42" s="2339"/>
    </row>
    <row r="43" spans="1:68" s="455" customFormat="1" ht="51.75" thickBot="1">
      <c r="A43" s="2896"/>
      <c r="B43" s="2897"/>
      <c r="C43" s="2893"/>
      <c r="D43" s="1801" t="s">
        <v>1016</v>
      </c>
      <c r="E43" s="1791" t="s">
        <v>1017</v>
      </c>
      <c r="F43" s="1792">
        <v>1</v>
      </c>
      <c r="G43" s="1793" t="s">
        <v>1018</v>
      </c>
      <c r="H43" s="1798" t="s">
        <v>1830</v>
      </c>
      <c r="I43" s="453">
        <v>0.015873015873015872</v>
      </c>
      <c r="J43" s="1793" t="s">
        <v>941</v>
      </c>
      <c r="K43" s="1794">
        <v>42005</v>
      </c>
      <c r="L43" s="1794">
        <v>42369</v>
      </c>
      <c r="M43" s="1797"/>
      <c r="N43" s="1797"/>
      <c r="O43" s="1797"/>
      <c r="P43" s="1797"/>
      <c r="Q43" s="1797"/>
      <c r="R43" s="1797"/>
      <c r="S43" s="1797"/>
      <c r="T43" s="1797"/>
      <c r="U43" s="1797"/>
      <c r="V43" s="1797"/>
      <c r="W43" s="1797"/>
      <c r="X43" s="1797">
        <v>1</v>
      </c>
      <c r="Y43" s="1796">
        <f t="shared" si="1"/>
        <v>1</v>
      </c>
      <c r="Z43" s="454">
        <v>0</v>
      </c>
      <c r="AA43" s="1790" t="s">
        <v>1090</v>
      </c>
      <c r="AB43" s="1378">
        <f t="shared" si="2"/>
        <v>0</v>
      </c>
      <c r="AC43" s="1311">
        <f t="shared" si="3"/>
        <v>0</v>
      </c>
      <c r="AD43" s="1509">
        <v>0</v>
      </c>
      <c r="AE43" s="1311" t="e">
        <f t="shared" si="16"/>
        <v>#DIV/0!</v>
      </c>
      <c r="AF43" s="1311">
        <f t="shared" si="4"/>
        <v>0</v>
      </c>
      <c r="AG43" s="1371">
        <f t="shared" si="5"/>
        <v>0</v>
      </c>
      <c r="AH43" s="1371" t="e">
        <v>#VALUE!</v>
      </c>
      <c r="AI43" s="1378"/>
      <c r="AJ43" s="1371" t="e">
        <v>#DIV/0!</v>
      </c>
      <c r="AK43" s="1378"/>
      <c r="AL43" s="1378"/>
      <c r="AM43" s="1831">
        <f t="shared" si="6"/>
        <v>0</v>
      </c>
      <c r="AN43" s="1699">
        <f t="shared" si="7"/>
        <v>0</v>
      </c>
      <c r="AO43" s="1697">
        <v>0</v>
      </c>
      <c r="AP43" s="1699" t="s">
        <v>1090</v>
      </c>
      <c r="AQ43" s="1699">
        <f t="shared" si="9"/>
        <v>0</v>
      </c>
      <c r="AR43" s="1699">
        <v>0</v>
      </c>
      <c r="AS43" s="1743">
        <v>0</v>
      </c>
      <c r="AT43" s="1699">
        <v>0</v>
      </c>
      <c r="AU43" s="1692" t="s">
        <v>2329</v>
      </c>
      <c r="AV43" s="1692"/>
      <c r="AW43" s="2066">
        <f t="shared" si="10"/>
        <v>0</v>
      </c>
      <c r="AX43" s="1990">
        <f t="shared" si="15"/>
        <v>0</v>
      </c>
      <c r="AY43" s="1989">
        <v>0</v>
      </c>
      <c r="AZ43" s="1990" t="s">
        <v>1090</v>
      </c>
      <c r="BA43" s="1990">
        <f t="shared" si="12"/>
        <v>0</v>
      </c>
      <c r="BB43" s="1990">
        <v>0</v>
      </c>
      <c r="BC43" s="2300">
        <v>0</v>
      </c>
      <c r="BD43" s="1989" t="s">
        <v>1090</v>
      </c>
      <c r="BE43" s="2084" t="s">
        <v>2588</v>
      </c>
      <c r="BF43" s="2084"/>
      <c r="BG43" s="2497">
        <f t="shared" si="13"/>
        <v>0</v>
      </c>
      <c r="BH43" s="2498">
        <f t="shared" si="14"/>
        <v>0</v>
      </c>
      <c r="BI43" s="2405">
        <v>0</v>
      </c>
      <c r="BJ43" s="2336" t="s">
        <v>1090</v>
      </c>
      <c r="BK43" s="2336"/>
      <c r="BL43" s="2336">
        <v>0</v>
      </c>
      <c r="BM43" s="2338"/>
      <c r="BN43" s="2337"/>
      <c r="BO43" s="2339" t="s">
        <v>2329</v>
      </c>
      <c r="BP43" s="2339"/>
    </row>
    <row r="44" spans="1:68" s="455" customFormat="1" ht="39" thickBot="1">
      <c r="A44" s="2896"/>
      <c r="B44" s="2897"/>
      <c r="C44" s="2893" t="s">
        <v>601</v>
      </c>
      <c r="D44" s="1801" t="s">
        <v>1019</v>
      </c>
      <c r="E44" s="1791" t="s">
        <v>978</v>
      </c>
      <c r="F44" s="1792">
        <v>12</v>
      </c>
      <c r="G44" s="1793" t="s">
        <v>1020</v>
      </c>
      <c r="H44" s="1798" t="s">
        <v>2305</v>
      </c>
      <c r="I44" s="453">
        <v>0.015873015873015872</v>
      </c>
      <c r="J44" s="1793" t="s">
        <v>948</v>
      </c>
      <c r="K44" s="1794">
        <v>42005</v>
      </c>
      <c r="L44" s="1794">
        <v>42369</v>
      </c>
      <c r="M44" s="1797">
        <v>1</v>
      </c>
      <c r="N44" s="1797">
        <v>1</v>
      </c>
      <c r="O44" s="1797">
        <v>1</v>
      </c>
      <c r="P44" s="1797">
        <v>1</v>
      </c>
      <c r="Q44" s="1797">
        <v>1</v>
      </c>
      <c r="R44" s="1797">
        <v>1</v>
      </c>
      <c r="S44" s="1797">
        <v>1</v>
      </c>
      <c r="T44" s="1797">
        <v>1</v>
      </c>
      <c r="U44" s="1797">
        <v>1</v>
      </c>
      <c r="V44" s="1797">
        <v>1</v>
      </c>
      <c r="W44" s="1797">
        <v>1</v>
      </c>
      <c r="X44" s="1797">
        <v>1</v>
      </c>
      <c r="Y44" s="1796">
        <f t="shared" si="1"/>
        <v>12</v>
      </c>
      <c r="Z44" s="454">
        <v>0</v>
      </c>
      <c r="AA44" s="1790" t="s">
        <v>1090</v>
      </c>
      <c r="AB44" s="1378">
        <f t="shared" si="2"/>
        <v>2</v>
      </c>
      <c r="AC44" s="1311">
        <f t="shared" si="3"/>
        <v>1</v>
      </c>
      <c r="AD44" s="1509">
        <v>2</v>
      </c>
      <c r="AE44" s="1311">
        <f t="shared" si="16"/>
        <v>1</v>
      </c>
      <c r="AF44" s="1311">
        <f t="shared" si="4"/>
        <v>0.16666666666666666</v>
      </c>
      <c r="AG44" s="1371">
        <f t="shared" si="5"/>
        <v>0.16666666666666666</v>
      </c>
      <c r="AH44" s="1371">
        <v>0</v>
      </c>
      <c r="AI44" s="1378"/>
      <c r="AJ44" s="1371" t="e">
        <v>#DIV/0!</v>
      </c>
      <c r="AK44" s="1378" t="s">
        <v>1962</v>
      </c>
      <c r="AL44" s="1378"/>
      <c r="AM44" s="1831">
        <f t="shared" si="6"/>
        <v>4</v>
      </c>
      <c r="AN44" s="1699">
        <f t="shared" si="7"/>
        <v>1</v>
      </c>
      <c r="AO44" s="1697">
        <v>2</v>
      </c>
      <c r="AP44" s="1699">
        <f t="shared" si="8"/>
        <v>0.5</v>
      </c>
      <c r="AQ44" s="1699">
        <f t="shared" si="9"/>
        <v>0.16666666666666666</v>
      </c>
      <c r="AR44" s="1699">
        <f t="shared" si="0"/>
        <v>0.5</v>
      </c>
      <c r="AS44" s="1743">
        <v>0</v>
      </c>
      <c r="AT44" s="1699">
        <v>0</v>
      </c>
      <c r="AU44" s="1692" t="s">
        <v>2330</v>
      </c>
      <c r="AV44" s="1692"/>
      <c r="AW44" s="2066">
        <f t="shared" si="10"/>
        <v>2</v>
      </c>
      <c r="AX44" s="1990">
        <f t="shared" si="15"/>
        <v>1</v>
      </c>
      <c r="AY44" s="1989">
        <v>2</v>
      </c>
      <c r="AZ44" s="1990">
        <f t="shared" si="11"/>
        <v>1</v>
      </c>
      <c r="BA44" s="1990">
        <f t="shared" si="12"/>
        <v>0.16666666666666666</v>
      </c>
      <c r="BB44" s="1990">
        <v>0.5</v>
      </c>
      <c r="BC44" s="2300">
        <v>0</v>
      </c>
      <c r="BD44" s="1989" t="s">
        <v>1090</v>
      </c>
      <c r="BE44" s="2084" t="s">
        <v>2589</v>
      </c>
      <c r="BF44" s="2084" t="s">
        <v>2590</v>
      </c>
      <c r="BG44" s="2497">
        <f t="shared" si="13"/>
        <v>8</v>
      </c>
      <c r="BH44" s="2498">
        <f t="shared" si="14"/>
        <v>1</v>
      </c>
      <c r="BI44" s="2405">
        <v>8</v>
      </c>
      <c r="BJ44" s="2336">
        <v>1</v>
      </c>
      <c r="BK44" s="2336"/>
      <c r="BL44" s="2336">
        <f>BI44/Y44</f>
        <v>0.6666666666666666</v>
      </c>
      <c r="BM44" s="2338"/>
      <c r="BN44" s="2337"/>
      <c r="BO44" s="2339" t="s">
        <v>3044</v>
      </c>
      <c r="BP44" s="2339"/>
    </row>
    <row r="45" spans="1:68" s="455" customFormat="1" ht="39" thickBot="1">
      <c r="A45" s="2896"/>
      <c r="B45" s="2897"/>
      <c r="C45" s="2893"/>
      <c r="D45" s="1801" t="s">
        <v>1021</v>
      </c>
      <c r="E45" s="1791" t="s">
        <v>978</v>
      </c>
      <c r="F45" s="1792">
        <v>12</v>
      </c>
      <c r="G45" s="1793" t="s">
        <v>1020</v>
      </c>
      <c r="H45" s="1798" t="s">
        <v>2305</v>
      </c>
      <c r="I45" s="453">
        <v>0.015873015873015872</v>
      </c>
      <c r="J45" s="1793" t="s">
        <v>948</v>
      </c>
      <c r="K45" s="1794">
        <v>42005</v>
      </c>
      <c r="L45" s="1794">
        <v>42369</v>
      </c>
      <c r="M45" s="1797">
        <v>1</v>
      </c>
      <c r="N45" s="1797">
        <v>1</v>
      </c>
      <c r="O45" s="1797">
        <v>1</v>
      </c>
      <c r="P45" s="1797">
        <v>1</v>
      </c>
      <c r="Q45" s="1797">
        <v>1</v>
      </c>
      <c r="R45" s="1797">
        <v>1</v>
      </c>
      <c r="S45" s="1797">
        <v>1</v>
      </c>
      <c r="T45" s="1797">
        <v>1</v>
      </c>
      <c r="U45" s="1797">
        <v>1</v>
      </c>
      <c r="V45" s="1797">
        <v>1</v>
      </c>
      <c r="W45" s="1797">
        <v>1</v>
      </c>
      <c r="X45" s="1797">
        <v>1</v>
      </c>
      <c r="Y45" s="1796">
        <f t="shared" si="1"/>
        <v>12</v>
      </c>
      <c r="Z45" s="454">
        <v>0</v>
      </c>
      <c r="AA45" s="1790" t="s">
        <v>1090</v>
      </c>
      <c r="AB45" s="1378">
        <f t="shared" si="2"/>
        <v>2</v>
      </c>
      <c r="AC45" s="1311">
        <f t="shared" si="3"/>
        <v>1</v>
      </c>
      <c r="AD45" s="1509">
        <v>2</v>
      </c>
      <c r="AE45" s="1311">
        <f t="shared" si="16"/>
        <v>1</v>
      </c>
      <c r="AF45" s="1311">
        <f t="shared" si="4"/>
        <v>0.16666666666666666</v>
      </c>
      <c r="AG45" s="1371">
        <f t="shared" si="5"/>
        <v>0.16666666666666666</v>
      </c>
      <c r="AH45" s="1371">
        <v>541.6666666666666</v>
      </c>
      <c r="AI45" s="1378"/>
      <c r="AJ45" s="1371" t="e">
        <v>#DIV/0!</v>
      </c>
      <c r="AK45" s="1378" t="s">
        <v>1963</v>
      </c>
      <c r="AL45" s="1378"/>
      <c r="AM45" s="1831">
        <f t="shared" si="6"/>
        <v>4</v>
      </c>
      <c r="AN45" s="1699">
        <f t="shared" si="7"/>
        <v>1</v>
      </c>
      <c r="AO45" s="1697">
        <v>2</v>
      </c>
      <c r="AP45" s="1699">
        <f t="shared" si="8"/>
        <v>0.5</v>
      </c>
      <c r="AQ45" s="1699">
        <f t="shared" si="9"/>
        <v>0.16666666666666666</v>
      </c>
      <c r="AR45" s="1699">
        <f t="shared" si="0"/>
        <v>0.5</v>
      </c>
      <c r="AS45" s="1743">
        <v>0</v>
      </c>
      <c r="AT45" s="1699">
        <v>0</v>
      </c>
      <c r="AU45" s="1692" t="s">
        <v>2331</v>
      </c>
      <c r="AV45" s="1692"/>
      <c r="AW45" s="2066">
        <f t="shared" si="10"/>
        <v>2</v>
      </c>
      <c r="AX45" s="1990">
        <f t="shared" si="15"/>
        <v>1</v>
      </c>
      <c r="AY45" s="1989">
        <v>2</v>
      </c>
      <c r="AZ45" s="1990">
        <f t="shared" si="11"/>
        <v>1</v>
      </c>
      <c r="BA45" s="1990">
        <f t="shared" si="12"/>
        <v>0.16666666666666666</v>
      </c>
      <c r="BB45" s="1990">
        <v>0.5</v>
      </c>
      <c r="BC45" s="2300">
        <v>0</v>
      </c>
      <c r="BD45" s="1989" t="s">
        <v>1090</v>
      </c>
      <c r="BE45" s="2084" t="s">
        <v>2591</v>
      </c>
      <c r="BF45" s="2084" t="s">
        <v>2590</v>
      </c>
      <c r="BG45" s="2497">
        <f t="shared" si="13"/>
        <v>8</v>
      </c>
      <c r="BH45" s="2498">
        <f t="shared" si="14"/>
        <v>1</v>
      </c>
      <c r="BI45" s="2405">
        <v>8</v>
      </c>
      <c r="BJ45" s="2336">
        <v>1</v>
      </c>
      <c r="BK45" s="2336"/>
      <c r="BL45" s="2336">
        <f aca="true" t="shared" si="19" ref="BL45:BL48">BI45/Y45</f>
        <v>0.6666666666666666</v>
      </c>
      <c r="BM45" s="2338"/>
      <c r="BN45" s="2337"/>
      <c r="BO45" s="2339" t="s">
        <v>3045</v>
      </c>
      <c r="BP45" s="2339"/>
    </row>
    <row r="46" spans="1:68" s="455" customFormat="1" ht="50.25" thickBot="1">
      <c r="A46" s="2896"/>
      <c r="B46" s="2897"/>
      <c r="C46" s="2893"/>
      <c r="D46" s="1801" t="s">
        <v>1022</v>
      </c>
      <c r="E46" s="1791" t="s">
        <v>978</v>
      </c>
      <c r="F46" s="1792">
        <v>12</v>
      </c>
      <c r="G46" s="1793" t="s">
        <v>1020</v>
      </c>
      <c r="H46" s="1798" t="s">
        <v>2305</v>
      </c>
      <c r="I46" s="453">
        <v>0.015873015873015872</v>
      </c>
      <c r="J46" s="1793" t="s">
        <v>948</v>
      </c>
      <c r="K46" s="1794">
        <v>42005</v>
      </c>
      <c r="L46" s="1794">
        <v>42369</v>
      </c>
      <c r="M46" s="1797">
        <v>1</v>
      </c>
      <c r="N46" s="1797">
        <v>1</v>
      </c>
      <c r="O46" s="1797">
        <v>1</v>
      </c>
      <c r="P46" s="1797">
        <v>1</v>
      </c>
      <c r="Q46" s="1797">
        <v>1</v>
      </c>
      <c r="R46" s="1797">
        <v>1</v>
      </c>
      <c r="S46" s="1797">
        <v>1</v>
      </c>
      <c r="T46" s="1797">
        <v>1</v>
      </c>
      <c r="U46" s="1797">
        <v>1</v>
      </c>
      <c r="V46" s="1797">
        <v>1</v>
      </c>
      <c r="W46" s="1797">
        <v>1</v>
      </c>
      <c r="X46" s="1797">
        <v>1</v>
      </c>
      <c r="Y46" s="1796">
        <f t="shared" si="1"/>
        <v>12</v>
      </c>
      <c r="Z46" s="454">
        <v>0</v>
      </c>
      <c r="AA46" s="1790" t="s">
        <v>1090</v>
      </c>
      <c r="AB46" s="1378">
        <f t="shared" si="2"/>
        <v>2</v>
      </c>
      <c r="AC46" s="1311">
        <f t="shared" si="3"/>
        <v>1</v>
      </c>
      <c r="AD46" s="1509">
        <v>2</v>
      </c>
      <c r="AE46" s="1311">
        <f t="shared" si="16"/>
        <v>1</v>
      </c>
      <c r="AF46" s="1311">
        <f t="shared" si="4"/>
        <v>0.16666666666666666</v>
      </c>
      <c r="AG46" s="1371">
        <f t="shared" si="5"/>
        <v>0.16666666666666666</v>
      </c>
      <c r="AH46" s="1371">
        <v>191.66666666666666</v>
      </c>
      <c r="AI46" s="1378"/>
      <c r="AJ46" s="1371" t="e">
        <v>#DIV/0!</v>
      </c>
      <c r="AK46" s="1378" t="s">
        <v>1964</v>
      </c>
      <c r="AL46" s="1378"/>
      <c r="AM46" s="1831">
        <f t="shared" si="6"/>
        <v>4</v>
      </c>
      <c r="AN46" s="1699">
        <f t="shared" si="7"/>
        <v>1</v>
      </c>
      <c r="AO46" s="1697">
        <v>2</v>
      </c>
      <c r="AP46" s="1699">
        <f t="shared" si="8"/>
        <v>0.5</v>
      </c>
      <c r="AQ46" s="1699">
        <f t="shared" si="9"/>
        <v>0.16666666666666666</v>
      </c>
      <c r="AR46" s="1699">
        <f t="shared" si="0"/>
        <v>0.5</v>
      </c>
      <c r="AS46" s="1743">
        <v>0</v>
      </c>
      <c r="AT46" s="1699">
        <v>0</v>
      </c>
      <c r="AU46" s="1692" t="s">
        <v>2332</v>
      </c>
      <c r="AV46" s="1692"/>
      <c r="AW46" s="2066">
        <f t="shared" si="10"/>
        <v>2</v>
      </c>
      <c r="AX46" s="1990">
        <f t="shared" si="15"/>
        <v>1</v>
      </c>
      <c r="AY46" s="1989">
        <v>2</v>
      </c>
      <c r="AZ46" s="1990">
        <f t="shared" si="11"/>
        <v>1</v>
      </c>
      <c r="BA46" s="1990">
        <f t="shared" si="12"/>
        <v>0.16666666666666666</v>
      </c>
      <c r="BB46" s="1990">
        <v>0.5</v>
      </c>
      <c r="BC46" s="2300">
        <v>0</v>
      </c>
      <c r="BD46" s="1989" t="s">
        <v>1090</v>
      </c>
      <c r="BE46" s="2084" t="s">
        <v>2592</v>
      </c>
      <c r="BF46" s="2084" t="s">
        <v>2590</v>
      </c>
      <c r="BG46" s="2497">
        <f t="shared" si="13"/>
        <v>8</v>
      </c>
      <c r="BH46" s="2498">
        <f t="shared" si="14"/>
        <v>1</v>
      </c>
      <c r="BI46" s="2405">
        <v>8</v>
      </c>
      <c r="BJ46" s="2336">
        <v>1</v>
      </c>
      <c r="BK46" s="2336"/>
      <c r="BL46" s="2336">
        <f t="shared" si="19"/>
        <v>0.6666666666666666</v>
      </c>
      <c r="BM46" s="2338"/>
      <c r="BN46" s="2337"/>
      <c r="BO46" s="2339" t="s">
        <v>3046</v>
      </c>
      <c r="BP46" s="2339"/>
    </row>
    <row r="47" spans="1:68" s="455" customFormat="1" ht="96.75" thickBot="1">
      <c r="A47" s="2896"/>
      <c r="B47" s="2897"/>
      <c r="C47" s="2893"/>
      <c r="D47" s="1801" t="s">
        <v>1023</v>
      </c>
      <c r="E47" s="1791" t="s">
        <v>1024</v>
      </c>
      <c r="F47" s="1792">
        <v>12</v>
      </c>
      <c r="G47" s="1793" t="s">
        <v>1025</v>
      </c>
      <c r="H47" s="1798" t="s">
        <v>2305</v>
      </c>
      <c r="I47" s="453">
        <v>0.015873015873015872</v>
      </c>
      <c r="J47" s="1793" t="s">
        <v>948</v>
      </c>
      <c r="K47" s="1794">
        <v>42005</v>
      </c>
      <c r="L47" s="1794">
        <v>42369</v>
      </c>
      <c r="M47" s="1797">
        <v>1</v>
      </c>
      <c r="N47" s="1797">
        <v>1</v>
      </c>
      <c r="O47" s="1797">
        <v>1</v>
      </c>
      <c r="P47" s="1797">
        <v>1</v>
      </c>
      <c r="Q47" s="1797">
        <v>1</v>
      </c>
      <c r="R47" s="1797">
        <v>1</v>
      </c>
      <c r="S47" s="1797">
        <v>1</v>
      </c>
      <c r="T47" s="1797">
        <v>1</v>
      </c>
      <c r="U47" s="1797">
        <v>1</v>
      </c>
      <c r="V47" s="1797">
        <v>1</v>
      </c>
      <c r="W47" s="1797">
        <v>1</v>
      </c>
      <c r="X47" s="1797">
        <v>1</v>
      </c>
      <c r="Y47" s="1796">
        <f t="shared" si="1"/>
        <v>12</v>
      </c>
      <c r="Z47" s="454">
        <v>0</v>
      </c>
      <c r="AA47" s="1790" t="s">
        <v>1090</v>
      </c>
      <c r="AB47" s="1378">
        <f t="shared" si="2"/>
        <v>2</v>
      </c>
      <c r="AC47" s="1311">
        <f t="shared" si="3"/>
        <v>1</v>
      </c>
      <c r="AD47" s="1509">
        <v>2</v>
      </c>
      <c r="AE47" s="1311">
        <f t="shared" si="16"/>
        <v>1</v>
      </c>
      <c r="AF47" s="1311">
        <f t="shared" si="4"/>
        <v>0.16666666666666666</v>
      </c>
      <c r="AG47" s="1371">
        <f t="shared" si="5"/>
        <v>0.16666666666666666</v>
      </c>
      <c r="AH47" s="1371">
        <v>1191.6666666666667</v>
      </c>
      <c r="AI47" s="1378"/>
      <c r="AJ47" s="1371" t="e">
        <v>#DIV/0!</v>
      </c>
      <c r="AK47" s="1378"/>
      <c r="AL47" s="1378"/>
      <c r="AM47" s="1831">
        <f t="shared" si="6"/>
        <v>4</v>
      </c>
      <c r="AN47" s="1699">
        <f t="shared" si="7"/>
        <v>1</v>
      </c>
      <c r="AO47" s="1697">
        <v>2</v>
      </c>
      <c r="AP47" s="1699">
        <f t="shared" si="8"/>
        <v>0.5</v>
      </c>
      <c r="AQ47" s="1699">
        <f t="shared" si="9"/>
        <v>0.16666666666666666</v>
      </c>
      <c r="AR47" s="1699">
        <f t="shared" si="0"/>
        <v>0.5</v>
      </c>
      <c r="AS47" s="1743">
        <v>0</v>
      </c>
      <c r="AT47" s="1699">
        <v>0</v>
      </c>
      <c r="AU47" s="1692" t="s">
        <v>2333</v>
      </c>
      <c r="AV47" s="1692"/>
      <c r="AW47" s="2066">
        <f t="shared" si="10"/>
        <v>2</v>
      </c>
      <c r="AX47" s="1990">
        <f t="shared" si="15"/>
        <v>1</v>
      </c>
      <c r="AY47" s="1989">
        <v>2</v>
      </c>
      <c r="AZ47" s="1990">
        <f t="shared" si="11"/>
        <v>1</v>
      </c>
      <c r="BA47" s="1990">
        <f t="shared" si="12"/>
        <v>0.16666666666666666</v>
      </c>
      <c r="BB47" s="1990">
        <v>0.5</v>
      </c>
      <c r="BC47" s="2300">
        <v>0</v>
      </c>
      <c r="BD47" s="1989" t="s">
        <v>1090</v>
      </c>
      <c r="BE47" s="2084" t="s">
        <v>2593</v>
      </c>
      <c r="BF47" s="2084"/>
      <c r="BG47" s="2497">
        <f t="shared" si="13"/>
        <v>8</v>
      </c>
      <c r="BH47" s="2498">
        <f t="shared" si="14"/>
        <v>1</v>
      </c>
      <c r="BI47" s="2405">
        <v>8</v>
      </c>
      <c r="BJ47" s="2336">
        <v>1</v>
      </c>
      <c r="BK47" s="2336"/>
      <c r="BL47" s="2336">
        <f t="shared" si="19"/>
        <v>0.6666666666666666</v>
      </c>
      <c r="BM47" s="2338"/>
      <c r="BN47" s="2337"/>
      <c r="BO47" s="2339" t="s">
        <v>3047</v>
      </c>
      <c r="BP47" s="2339"/>
    </row>
    <row r="48" spans="1:68" s="455" customFormat="1" ht="57.75" customHeight="1" thickBot="1">
      <c r="A48" s="2896"/>
      <c r="B48" s="2897"/>
      <c r="C48" s="2893"/>
      <c r="D48" s="1801" t="s">
        <v>1026</v>
      </c>
      <c r="E48" s="1791" t="s">
        <v>1027</v>
      </c>
      <c r="F48" s="1792">
        <v>12</v>
      </c>
      <c r="G48" s="1793" t="s">
        <v>1028</v>
      </c>
      <c r="H48" s="1798" t="s">
        <v>2305</v>
      </c>
      <c r="I48" s="453">
        <v>0.015873015873015872</v>
      </c>
      <c r="J48" s="1793" t="s">
        <v>287</v>
      </c>
      <c r="K48" s="1794">
        <v>42005</v>
      </c>
      <c r="L48" s="1794">
        <v>42369</v>
      </c>
      <c r="M48" s="1797">
        <v>1</v>
      </c>
      <c r="N48" s="1797">
        <v>1</v>
      </c>
      <c r="O48" s="1797">
        <v>1</v>
      </c>
      <c r="P48" s="1797">
        <v>1</v>
      </c>
      <c r="Q48" s="1797">
        <v>1</v>
      </c>
      <c r="R48" s="1797">
        <v>1</v>
      </c>
      <c r="S48" s="1797">
        <v>1</v>
      </c>
      <c r="T48" s="1797">
        <v>1</v>
      </c>
      <c r="U48" s="1797">
        <v>1</v>
      </c>
      <c r="V48" s="1797">
        <v>1</v>
      </c>
      <c r="W48" s="1797">
        <v>1</v>
      </c>
      <c r="X48" s="1797">
        <v>1</v>
      </c>
      <c r="Y48" s="1796">
        <f t="shared" si="1"/>
        <v>12</v>
      </c>
      <c r="Z48" s="454">
        <v>0</v>
      </c>
      <c r="AA48" s="1790" t="s">
        <v>1090</v>
      </c>
      <c r="AB48" s="1378">
        <f t="shared" si="2"/>
        <v>2</v>
      </c>
      <c r="AC48" s="1311">
        <f t="shared" si="3"/>
        <v>1</v>
      </c>
      <c r="AD48" s="1509">
        <v>2</v>
      </c>
      <c r="AE48" s="1311">
        <f t="shared" si="16"/>
        <v>1</v>
      </c>
      <c r="AF48" s="1311">
        <f t="shared" si="4"/>
        <v>0.16666666666666666</v>
      </c>
      <c r="AG48" s="1371">
        <f t="shared" si="5"/>
        <v>0.16666666666666666</v>
      </c>
      <c r="AH48" s="1371">
        <v>16.666666666666668</v>
      </c>
      <c r="AI48" s="1378"/>
      <c r="AJ48" s="1371" t="e">
        <v>#DIV/0!</v>
      </c>
      <c r="AK48" s="1378" t="s">
        <v>1961</v>
      </c>
      <c r="AL48" s="1378"/>
      <c r="AM48" s="1831">
        <f t="shared" si="6"/>
        <v>4</v>
      </c>
      <c r="AN48" s="1699">
        <f t="shared" si="7"/>
        <v>1</v>
      </c>
      <c r="AO48" s="1697">
        <v>2</v>
      </c>
      <c r="AP48" s="1699">
        <f t="shared" si="8"/>
        <v>0.5</v>
      </c>
      <c r="AQ48" s="1699">
        <f t="shared" si="9"/>
        <v>0.16666666666666666</v>
      </c>
      <c r="AR48" s="1699">
        <f t="shared" si="0"/>
        <v>0.5</v>
      </c>
      <c r="AS48" s="1743">
        <v>0</v>
      </c>
      <c r="AT48" s="1699">
        <v>0</v>
      </c>
      <c r="AU48" s="1692" t="s">
        <v>2334</v>
      </c>
      <c r="AV48" s="1692"/>
      <c r="AW48" s="2066">
        <f t="shared" si="10"/>
        <v>2</v>
      </c>
      <c r="AX48" s="1990">
        <f t="shared" si="15"/>
        <v>1</v>
      </c>
      <c r="AY48" s="1989">
        <v>2</v>
      </c>
      <c r="AZ48" s="1990">
        <f t="shared" si="11"/>
        <v>1</v>
      </c>
      <c r="BA48" s="1990">
        <f t="shared" si="12"/>
        <v>0.16666666666666666</v>
      </c>
      <c r="BB48" s="1990">
        <v>0.5</v>
      </c>
      <c r="BC48" s="2300">
        <v>0</v>
      </c>
      <c r="BD48" s="1989" t="s">
        <v>1090</v>
      </c>
      <c r="BE48" s="2084" t="s">
        <v>2594</v>
      </c>
      <c r="BF48" s="2084"/>
      <c r="BG48" s="2497">
        <f t="shared" si="13"/>
        <v>8</v>
      </c>
      <c r="BH48" s="2498">
        <f t="shared" si="14"/>
        <v>1</v>
      </c>
      <c r="BI48" s="2405">
        <v>8</v>
      </c>
      <c r="BJ48" s="2336">
        <v>1</v>
      </c>
      <c r="BK48" s="2336"/>
      <c r="BL48" s="2336">
        <f t="shared" si="19"/>
        <v>0.6666666666666666</v>
      </c>
      <c r="BM48" s="2338"/>
      <c r="BN48" s="2337"/>
      <c r="BO48" s="2339"/>
      <c r="BP48" s="2339"/>
    </row>
    <row r="49" spans="1:68" s="211" customFormat="1" ht="39" thickBot="1">
      <c r="A49" s="2896"/>
      <c r="B49" s="2897"/>
      <c r="C49" s="2884" t="s">
        <v>1029</v>
      </c>
      <c r="D49" s="1790" t="s">
        <v>1030</v>
      </c>
      <c r="E49" s="1791" t="s">
        <v>1031</v>
      </c>
      <c r="F49" s="1792">
        <v>1</v>
      </c>
      <c r="G49" s="1793" t="s">
        <v>1032</v>
      </c>
      <c r="H49" s="1798" t="s">
        <v>1833</v>
      </c>
      <c r="I49" s="453">
        <v>0.015873015873015872</v>
      </c>
      <c r="J49" s="1793" t="s">
        <v>1033</v>
      </c>
      <c r="K49" s="1794">
        <v>42005</v>
      </c>
      <c r="L49" s="1794">
        <v>42369</v>
      </c>
      <c r="M49" s="1797"/>
      <c r="N49" s="1797">
        <v>1</v>
      </c>
      <c r="O49" s="1797"/>
      <c r="P49" s="1797"/>
      <c r="Q49" s="1797"/>
      <c r="R49" s="1797"/>
      <c r="S49" s="1797"/>
      <c r="T49" s="1797"/>
      <c r="U49" s="1797"/>
      <c r="V49" s="1797"/>
      <c r="W49" s="1797"/>
      <c r="X49" s="1797"/>
      <c r="Y49" s="1796">
        <f t="shared" si="1"/>
        <v>1</v>
      </c>
      <c r="Z49" s="454">
        <v>0</v>
      </c>
      <c r="AA49" s="1790" t="s">
        <v>1090</v>
      </c>
      <c r="AB49" s="1378">
        <f t="shared" si="2"/>
        <v>1</v>
      </c>
      <c r="AC49" s="1311">
        <f t="shared" si="3"/>
        <v>1</v>
      </c>
      <c r="AD49" s="1509">
        <v>1</v>
      </c>
      <c r="AE49" s="1311">
        <f t="shared" si="16"/>
        <v>1</v>
      </c>
      <c r="AF49" s="1311">
        <f t="shared" si="4"/>
        <v>1</v>
      </c>
      <c r="AG49" s="1371">
        <f t="shared" si="5"/>
        <v>1</v>
      </c>
      <c r="AH49" s="1371">
        <v>33.333333333333336</v>
      </c>
      <c r="AI49" s="1378"/>
      <c r="AJ49" s="1371" t="e">
        <v>#DIV/0!</v>
      </c>
      <c r="AK49" s="1378"/>
      <c r="AL49" s="1378"/>
      <c r="AM49" s="1831">
        <f t="shared" si="6"/>
        <v>1</v>
      </c>
      <c r="AN49" s="1699">
        <f t="shared" si="7"/>
        <v>1</v>
      </c>
      <c r="AO49" s="1697">
        <v>0</v>
      </c>
      <c r="AP49" s="1699">
        <f t="shared" si="8"/>
        <v>0</v>
      </c>
      <c r="AQ49" s="1699">
        <f t="shared" si="9"/>
        <v>0</v>
      </c>
      <c r="AR49" s="1699">
        <f t="shared" si="0"/>
        <v>0</v>
      </c>
      <c r="AS49" s="1743">
        <v>0</v>
      </c>
      <c r="AT49" s="1699">
        <v>0</v>
      </c>
      <c r="AU49" s="1692"/>
      <c r="AV49" s="1692"/>
      <c r="AW49" s="2066">
        <f t="shared" si="10"/>
        <v>0</v>
      </c>
      <c r="AX49" s="1990">
        <f t="shared" si="15"/>
        <v>0</v>
      </c>
      <c r="AY49" s="1989">
        <v>0</v>
      </c>
      <c r="AZ49" s="1990" t="s">
        <v>1090</v>
      </c>
      <c r="BA49" s="1990">
        <f t="shared" si="12"/>
        <v>0</v>
      </c>
      <c r="BB49" s="1990">
        <v>1</v>
      </c>
      <c r="BC49" s="2300">
        <v>0</v>
      </c>
      <c r="BD49" s="1989" t="s">
        <v>1090</v>
      </c>
      <c r="BE49" s="2084" t="s">
        <v>2595</v>
      </c>
      <c r="BF49" s="2084"/>
      <c r="BG49" s="2497">
        <f t="shared" si="13"/>
        <v>1</v>
      </c>
      <c r="BH49" s="2498">
        <f t="shared" si="14"/>
        <v>1</v>
      </c>
      <c r="BI49" s="2405">
        <v>1</v>
      </c>
      <c r="BJ49" s="2336">
        <v>1</v>
      </c>
      <c r="BK49" s="2336"/>
      <c r="BL49" s="2336">
        <v>1</v>
      </c>
      <c r="BM49" s="2338"/>
      <c r="BN49" s="2337"/>
      <c r="BO49" s="2339" t="s">
        <v>3048</v>
      </c>
      <c r="BP49" s="2339"/>
    </row>
    <row r="50" spans="1:68" s="211" customFormat="1" ht="39" thickBot="1">
      <c r="A50" s="2896"/>
      <c r="B50" s="2897"/>
      <c r="C50" s="2885"/>
      <c r="D50" s="1790" t="s">
        <v>1034</v>
      </c>
      <c r="E50" s="1791" t="s">
        <v>1035</v>
      </c>
      <c r="F50" s="1792">
        <v>1</v>
      </c>
      <c r="G50" s="1793" t="s">
        <v>1036</v>
      </c>
      <c r="H50" s="1798" t="s">
        <v>1833</v>
      </c>
      <c r="I50" s="453">
        <v>0.015873015873015872</v>
      </c>
      <c r="J50" s="1793" t="s">
        <v>1037</v>
      </c>
      <c r="K50" s="1794">
        <v>42005</v>
      </c>
      <c r="L50" s="1794">
        <v>42369</v>
      </c>
      <c r="M50" s="1797"/>
      <c r="N50" s="1797">
        <v>1</v>
      </c>
      <c r="O50" s="1797"/>
      <c r="P50" s="1797"/>
      <c r="Q50" s="1797"/>
      <c r="R50" s="1797"/>
      <c r="S50" s="1797"/>
      <c r="T50" s="1797"/>
      <c r="U50" s="1797"/>
      <c r="V50" s="1797"/>
      <c r="W50" s="1797"/>
      <c r="X50" s="1797"/>
      <c r="Y50" s="1796">
        <f t="shared" si="1"/>
        <v>1</v>
      </c>
      <c r="Z50" s="454">
        <v>0</v>
      </c>
      <c r="AA50" s="1790" t="s">
        <v>1090</v>
      </c>
      <c r="AB50" s="1378">
        <f t="shared" si="2"/>
        <v>1</v>
      </c>
      <c r="AC50" s="1311">
        <f t="shared" si="3"/>
        <v>1</v>
      </c>
      <c r="AD50" s="1509">
        <v>1</v>
      </c>
      <c r="AE50" s="1311">
        <f t="shared" si="16"/>
        <v>1</v>
      </c>
      <c r="AF50" s="1311">
        <f t="shared" si="4"/>
        <v>1</v>
      </c>
      <c r="AG50" s="1371">
        <f t="shared" si="5"/>
        <v>1</v>
      </c>
      <c r="AH50" s="1371">
        <v>100</v>
      </c>
      <c r="AI50" s="1378">
        <v>0</v>
      </c>
      <c r="AJ50" s="1371" t="e">
        <v>#DIV/0!</v>
      </c>
      <c r="AK50" s="1378" t="s">
        <v>1804</v>
      </c>
      <c r="AL50" s="1378"/>
      <c r="AM50" s="1831">
        <f t="shared" si="6"/>
        <v>1</v>
      </c>
      <c r="AN50" s="1699">
        <f t="shared" si="7"/>
        <v>1</v>
      </c>
      <c r="AO50" s="1697">
        <v>0</v>
      </c>
      <c r="AP50" s="1699">
        <f t="shared" si="8"/>
        <v>0</v>
      </c>
      <c r="AQ50" s="1699">
        <f t="shared" si="9"/>
        <v>0</v>
      </c>
      <c r="AR50" s="1699">
        <f t="shared" si="0"/>
        <v>0</v>
      </c>
      <c r="AS50" s="1743">
        <v>0</v>
      </c>
      <c r="AT50" s="1699">
        <v>0</v>
      </c>
      <c r="AU50" s="1692"/>
      <c r="AV50" s="1692"/>
      <c r="AW50" s="2066">
        <f t="shared" si="10"/>
        <v>0</v>
      </c>
      <c r="AX50" s="1990">
        <f t="shared" si="15"/>
        <v>0</v>
      </c>
      <c r="AY50" s="1989">
        <v>0</v>
      </c>
      <c r="AZ50" s="1990" t="s">
        <v>1090</v>
      </c>
      <c r="BA50" s="1990">
        <f t="shared" si="12"/>
        <v>0</v>
      </c>
      <c r="BB50" s="1990">
        <v>1</v>
      </c>
      <c r="BC50" s="2300">
        <v>0</v>
      </c>
      <c r="BD50" s="1989" t="s">
        <v>1090</v>
      </c>
      <c r="BE50" s="2084" t="s">
        <v>2596</v>
      </c>
      <c r="BF50" s="2084"/>
      <c r="BG50" s="2497">
        <f t="shared" si="13"/>
        <v>1</v>
      </c>
      <c r="BH50" s="2498">
        <f t="shared" si="14"/>
        <v>1</v>
      </c>
      <c r="BI50" s="2405">
        <v>1</v>
      </c>
      <c r="BJ50" s="2336">
        <v>1</v>
      </c>
      <c r="BK50" s="2336"/>
      <c r="BL50" s="2336">
        <v>1</v>
      </c>
      <c r="BM50" s="2338"/>
      <c r="BN50" s="2337"/>
      <c r="BO50" s="2339"/>
      <c r="BP50" s="2339"/>
    </row>
    <row r="51" spans="1:68" s="211" customFormat="1" ht="132.75" thickBot="1">
      <c r="A51" s="2896"/>
      <c r="B51" s="2897"/>
      <c r="C51" s="2885"/>
      <c r="D51" s="1790" t="s">
        <v>1965</v>
      </c>
      <c r="E51" s="1791" t="s">
        <v>1039</v>
      </c>
      <c r="F51" s="1792">
        <v>10</v>
      </c>
      <c r="G51" s="1793" t="s">
        <v>1036</v>
      </c>
      <c r="H51" s="1798" t="s">
        <v>1835</v>
      </c>
      <c r="I51" s="453">
        <v>0.015873015873015872</v>
      </c>
      <c r="J51" s="1793" t="s">
        <v>948</v>
      </c>
      <c r="K51" s="1794">
        <v>42005</v>
      </c>
      <c r="L51" s="1794">
        <v>42369</v>
      </c>
      <c r="M51" s="1797"/>
      <c r="N51" s="1797"/>
      <c r="O51" s="1797">
        <v>1</v>
      </c>
      <c r="P51" s="1797">
        <v>1</v>
      </c>
      <c r="Q51" s="1797">
        <v>1</v>
      </c>
      <c r="R51" s="1797">
        <v>1</v>
      </c>
      <c r="S51" s="1797">
        <v>1</v>
      </c>
      <c r="T51" s="1797">
        <v>1</v>
      </c>
      <c r="U51" s="1797">
        <v>1</v>
      </c>
      <c r="V51" s="1797">
        <v>1</v>
      </c>
      <c r="W51" s="1797">
        <v>1</v>
      </c>
      <c r="X51" s="1797">
        <v>1</v>
      </c>
      <c r="Y51" s="1796">
        <f t="shared" si="1"/>
        <v>10</v>
      </c>
      <c r="Z51" s="454"/>
      <c r="AA51" s="1790"/>
      <c r="AB51" s="1378">
        <f t="shared" si="2"/>
        <v>0</v>
      </c>
      <c r="AC51" s="1311">
        <f t="shared" si="3"/>
        <v>0</v>
      </c>
      <c r="AD51" s="1509">
        <v>0</v>
      </c>
      <c r="AE51" s="1311" t="s">
        <v>1090</v>
      </c>
      <c r="AF51" s="1311">
        <v>0</v>
      </c>
      <c r="AG51" s="1371">
        <f t="shared" si="5"/>
        <v>0</v>
      </c>
      <c r="AH51" s="1371">
        <v>100</v>
      </c>
      <c r="AI51" s="1378">
        <v>0</v>
      </c>
      <c r="AJ51" s="1371" t="e">
        <v>#DIV/0!</v>
      </c>
      <c r="AK51" s="1378" t="s">
        <v>1805</v>
      </c>
      <c r="AL51" s="1378"/>
      <c r="AM51" s="1831">
        <f t="shared" si="6"/>
        <v>2</v>
      </c>
      <c r="AN51" s="1699">
        <f t="shared" si="7"/>
        <v>1</v>
      </c>
      <c r="AO51" s="1697">
        <v>0</v>
      </c>
      <c r="AP51" s="1699">
        <f t="shared" si="8"/>
        <v>0</v>
      </c>
      <c r="AQ51" s="1699" t="s">
        <v>1090</v>
      </c>
      <c r="AR51" s="1699">
        <f t="shared" si="0"/>
        <v>0</v>
      </c>
      <c r="AS51" s="1743">
        <v>0</v>
      </c>
      <c r="AT51" s="1699">
        <v>0</v>
      </c>
      <c r="AU51" s="1692"/>
      <c r="AV51" s="1692"/>
      <c r="AW51" s="2066">
        <f t="shared" si="10"/>
        <v>2</v>
      </c>
      <c r="AX51" s="1990">
        <f t="shared" si="15"/>
        <v>1</v>
      </c>
      <c r="AY51" s="1989">
        <v>1</v>
      </c>
      <c r="AZ51" s="1990">
        <f t="shared" si="11"/>
        <v>0.5</v>
      </c>
      <c r="BA51" s="1990">
        <f t="shared" si="12"/>
        <v>0.1</v>
      </c>
      <c r="BB51" s="1990">
        <f>1/10</f>
        <v>0.1</v>
      </c>
      <c r="BC51" s="2300">
        <v>0</v>
      </c>
      <c r="BD51" s="1989" t="s">
        <v>1090</v>
      </c>
      <c r="BE51" s="2084" t="s">
        <v>2597</v>
      </c>
      <c r="BF51" s="2084"/>
      <c r="BG51" s="2497">
        <f t="shared" si="13"/>
        <v>6</v>
      </c>
      <c r="BH51" s="2498">
        <f t="shared" si="14"/>
        <v>1</v>
      </c>
      <c r="BI51" s="2405">
        <v>1</v>
      </c>
      <c r="BJ51" s="2336">
        <f>BI51/BG51</f>
        <v>0.16666666666666666</v>
      </c>
      <c r="BK51" s="2336"/>
      <c r="BL51" s="2336">
        <f>BI51/Y51</f>
        <v>0.1</v>
      </c>
      <c r="BM51" s="2338"/>
      <c r="BN51" s="2337"/>
      <c r="BO51" s="2339"/>
      <c r="BP51" s="2339"/>
    </row>
    <row r="52" spans="1:68" s="211" customFormat="1" ht="198.75" thickBot="1">
      <c r="A52" s="2896"/>
      <c r="B52" s="2897"/>
      <c r="C52" s="2885"/>
      <c r="D52" s="1790" t="s">
        <v>1038</v>
      </c>
      <c r="E52" s="1791" t="s">
        <v>1039</v>
      </c>
      <c r="F52" s="1792">
        <v>10</v>
      </c>
      <c r="G52" s="1793" t="s">
        <v>1036</v>
      </c>
      <c r="H52" s="1798" t="s">
        <v>1834</v>
      </c>
      <c r="I52" s="453">
        <v>0.015873015873015872</v>
      </c>
      <c r="J52" s="1793" t="s">
        <v>948</v>
      </c>
      <c r="K52" s="1794">
        <v>42005</v>
      </c>
      <c r="L52" s="1794">
        <v>42369</v>
      </c>
      <c r="M52" s="1797"/>
      <c r="N52" s="1797"/>
      <c r="O52" s="1797">
        <v>1</v>
      </c>
      <c r="P52" s="1797">
        <v>1</v>
      </c>
      <c r="Q52" s="1797">
        <v>1</v>
      </c>
      <c r="R52" s="1797">
        <v>1</v>
      </c>
      <c r="S52" s="1797">
        <v>1</v>
      </c>
      <c r="T52" s="1797">
        <v>1</v>
      </c>
      <c r="U52" s="1797">
        <v>1</v>
      </c>
      <c r="V52" s="1797">
        <v>1</v>
      </c>
      <c r="W52" s="1797">
        <v>1</v>
      </c>
      <c r="X52" s="1797">
        <v>1</v>
      </c>
      <c r="Y52" s="1796">
        <f t="shared" si="1"/>
        <v>10</v>
      </c>
      <c r="Z52" s="454">
        <v>0</v>
      </c>
      <c r="AA52" s="1790" t="s">
        <v>1090</v>
      </c>
      <c r="AB52" s="1378">
        <f t="shared" si="2"/>
        <v>0</v>
      </c>
      <c r="AC52" s="1311">
        <f t="shared" si="3"/>
        <v>0</v>
      </c>
      <c r="AD52" s="1509">
        <v>0</v>
      </c>
      <c r="AE52" s="1311" t="s">
        <v>1090</v>
      </c>
      <c r="AF52" s="1311">
        <f t="shared" si="4"/>
        <v>0</v>
      </c>
      <c r="AG52" s="1371">
        <f t="shared" si="5"/>
        <v>0</v>
      </c>
      <c r="AH52" s="1371">
        <v>0</v>
      </c>
      <c r="AI52" s="1378">
        <v>0</v>
      </c>
      <c r="AJ52" s="1371" t="e">
        <v>#DIV/0!</v>
      </c>
      <c r="AK52" s="1378" t="s">
        <v>1805</v>
      </c>
      <c r="AL52" s="1378"/>
      <c r="AM52" s="1831">
        <f t="shared" si="6"/>
        <v>2</v>
      </c>
      <c r="AN52" s="1699">
        <f t="shared" si="7"/>
        <v>1</v>
      </c>
      <c r="AO52" s="1697">
        <v>2</v>
      </c>
      <c r="AP52" s="1699">
        <f t="shared" si="8"/>
        <v>1</v>
      </c>
      <c r="AQ52" s="1699">
        <f t="shared" si="9"/>
        <v>0.2</v>
      </c>
      <c r="AR52" s="1699">
        <f t="shared" si="0"/>
        <v>1</v>
      </c>
      <c r="AS52" s="1743">
        <v>0</v>
      </c>
      <c r="AT52" s="1699">
        <v>0</v>
      </c>
      <c r="AU52" s="1692" t="s">
        <v>2335</v>
      </c>
      <c r="AV52" s="1692"/>
      <c r="AW52" s="2066">
        <f t="shared" si="10"/>
        <v>2</v>
      </c>
      <c r="AX52" s="1990">
        <f t="shared" si="15"/>
        <v>1</v>
      </c>
      <c r="AY52" s="1989">
        <v>4</v>
      </c>
      <c r="AZ52" s="1990">
        <v>1</v>
      </c>
      <c r="BA52" s="1990">
        <f t="shared" si="12"/>
        <v>0.4</v>
      </c>
      <c r="BB52" s="1990">
        <f>6/10</f>
        <v>0.6</v>
      </c>
      <c r="BC52" s="2300">
        <v>0</v>
      </c>
      <c r="BD52" s="1989" t="s">
        <v>1090</v>
      </c>
      <c r="BE52" s="2084" t="s">
        <v>2598</v>
      </c>
      <c r="BF52" s="2084"/>
      <c r="BG52" s="2497">
        <f t="shared" si="13"/>
        <v>6</v>
      </c>
      <c r="BH52" s="2498">
        <f t="shared" si="14"/>
        <v>1</v>
      </c>
      <c r="BI52" s="2405">
        <v>6</v>
      </c>
      <c r="BJ52" s="2336">
        <v>1</v>
      </c>
      <c r="BK52" s="2336"/>
      <c r="BL52" s="2336">
        <f>BI52/Y52</f>
        <v>0.6</v>
      </c>
      <c r="BM52" s="2338"/>
      <c r="BN52" s="2337"/>
      <c r="BO52" s="2339" t="s">
        <v>3049</v>
      </c>
      <c r="BP52" s="2339"/>
    </row>
    <row r="53" spans="1:68" s="211" customFormat="1" ht="51.75" thickBot="1">
      <c r="A53" s="2896"/>
      <c r="B53" s="2897"/>
      <c r="C53" s="2885"/>
      <c r="D53" s="1790" t="s">
        <v>1966</v>
      </c>
      <c r="E53" s="1791" t="s">
        <v>1039</v>
      </c>
      <c r="F53" s="1792">
        <v>12</v>
      </c>
      <c r="G53" s="1793" t="s">
        <v>1036</v>
      </c>
      <c r="H53" s="1798" t="s">
        <v>1835</v>
      </c>
      <c r="I53" s="453">
        <v>0.015873015873015872</v>
      </c>
      <c r="J53" s="1793" t="s">
        <v>948</v>
      </c>
      <c r="K53" s="1794">
        <v>42005</v>
      </c>
      <c r="L53" s="1794">
        <v>42369</v>
      </c>
      <c r="M53" s="1797"/>
      <c r="N53" s="1797"/>
      <c r="O53" s="1797">
        <v>1</v>
      </c>
      <c r="P53" s="1797">
        <v>1</v>
      </c>
      <c r="Q53" s="1797">
        <v>1</v>
      </c>
      <c r="R53" s="1797">
        <v>1</v>
      </c>
      <c r="S53" s="1797">
        <v>1</v>
      </c>
      <c r="T53" s="1797">
        <v>1</v>
      </c>
      <c r="U53" s="1797">
        <v>1</v>
      </c>
      <c r="V53" s="1797">
        <v>1</v>
      </c>
      <c r="W53" s="1797">
        <v>1</v>
      </c>
      <c r="X53" s="1797">
        <v>1</v>
      </c>
      <c r="Y53" s="1796">
        <v>10</v>
      </c>
      <c r="Z53" s="454">
        <v>0</v>
      </c>
      <c r="AA53" s="1790" t="s">
        <v>1090</v>
      </c>
      <c r="AB53" s="1378">
        <v>0</v>
      </c>
      <c r="AC53" s="1311">
        <f t="shared" si="3"/>
        <v>0</v>
      </c>
      <c r="AD53" s="1509">
        <v>0</v>
      </c>
      <c r="AE53" s="1311" t="s">
        <v>1090</v>
      </c>
      <c r="AF53" s="1311">
        <f t="shared" si="4"/>
        <v>0</v>
      </c>
      <c r="AG53" s="1371">
        <f t="shared" si="5"/>
        <v>0</v>
      </c>
      <c r="AH53" s="1371">
        <v>0</v>
      </c>
      <c r="AI53" s="1378">
        <v>0</v>
      </c>
      <c r="AJ53" s="1371">
        <v>0</v>
      </c>
      <c r="AK53" s="1378" t="s">
        <v>1806</v>
      </c>
      <c r="AL53" s="1378"/>
      <c r="AM53" s="1831">
        <f t="shared" si="6"/>
        <v>2</v>
      </c>
      <c r="AN53" s="1699">
        <f t="shared" si="7"/>
        <v>1</v>
      </c>
      <c r="AO53" s="1697">
        <v>0</v>
      </c>
      <c r="AP53" s="1699">
        <f t="shared" si="8"/>
        <v>0</v>
      </c>
      <c r="AQ53" s="1699">
        <f t="shared" si="9"/>
        <v>0</v>
      </c>
      <c r="AR53" s="1699">
        <f t="shared" si="0"/>
        <v>0</v>
      </c>
      <c r="AS53" s="1743">
        <v>0</v>
      </c>
      <c r="AT53" s="1699">
        <v>0</v>
      </c>
      <c r="AU53" s="1692" t="s">
        <v>2336</v>
      </c>
      <c r="AV53" s="1692"/>
      <c r="AW53" s="2066">
        <f t="shared" si="10"/>
        <v>2</v>
      </c>
      <c r="AX53" s="1990">
        <f t="shared" si="15"/>
        <v>1</v>
      </c>
      <c r="AY53" s="1989">
        <v>0</v>
      </c>
      <c r="AZ53" s="1990">
        <f t="shared" si="11"/>
        <v>0</v>
      </c>
      <c r="BA53" s="1990">
        <f t="shared" si="12"/>
        <v>0</v>
      </c>
      <c r="BB53" s="1990">
        <v>0</v>
      </c>
      <c r="BC53" s="2300">
        <v>0</v>
      </c>
      <c r="BD53" s="1989" t="s">
        <v>1090</v>
      </c>
      <c r="BE53" s="2084"/>
      <c r="BF53" s="2084" t="s">
        <v>2336</v>
      </c>
      <c r="BG53" s="2497">
        <f t="shared" si="13"/>
        <v>6</v>
      </c>
      <c r="BH53" s="2498">
        <f t="shared" si="14"/>
        <v>1</v>
      </c>
      <c r="BI53" s="2405" t="s">
        <v>1090</v>
      </c>
      <c r="BJ53" s="2336">
        <v>0</v>
      </c>
      <c r="BK53" s="2336"/>
      <c r="BL53" s="2336">
        <v>0</v>
      </c>
      <c r="BM53" s="2338"/>
      <c r="BN53" s="2337"/>
      <c r="BO53" s="2339"/>
      <c r="BP53" s="2339"/>
    </row>
    <row r="54" spans="1:68" s="211" customFormat="1" ht="51.75" thickBot="1">
      <c r="A54" s="2896"/>
      <c r="B54" s="2897"/>
      <c r="C54" s="2885"/>
      <c r="D54" s="1790" t="s">
        <v>1967</v>
      </c>
      <c r="E54" s="1791" t="s">
        <v>1039</v>
      </c>
      <c r="F54" s="1792">
        <v>12</v>
      </c>
      <c r="G54" s="1793" t="s">
        <v>1036</v>
      </c>
      <c r="H54" s="1798" t="s">
        <v>1834</v>
      </c>
      <c r="I54" s="453">
        <v>0.015873015873015872</v>
      </c>
      <c r="J54" s="1793" t="s">
        <v>948</v>
      </c>
      <c r="K54" s="1794">
        <v>42005</v>
      </c>
      <c r="L54" s="1794">
        <v>42369</v>
      </c>
      <c r="M54" s="1797"/>
      <c r="N54" s="1797"/>
      <c r="O54" s="1797">
        <v>1</v>
      </c>
      <c r="P54" s="1797">
        <v>1</v>
      </c>
      <c r="Q54" s="1797">
        <v>1</v>
      </c>
      <c r="R54" s="1797">
        <v>1</v>
      </c>
      <c r="S54" s="1797">
        <v>1</v>
      </c>
      <c r="T54" s="1797">
        <v>1</v>
      </c>
      <c r="U54" s="1797">
        <v>1</v>
      </c>
      <c r="V54" s="1797">
        <v>1</v>
      </c>
      <c r="W54" s="1797">
        <v>1</v>
      </c>
      <c r="X54" s="1797">
        <v>1</v>
      </c>
      <c r="Y54" s="1796">
        <v>10</v>
      </c>
      <c r="Z54" s="454">
        <v>0</v>
      </c>
      <c r="AA54" s="1790" t="s">
        <v>1090</v>
      </c>
      <c r="AB54" s="1378">
        <f t="shared" si="2"/>
        <v>0</v>
      </c>
      <c r="AC54" s="1311">
        <f t="shared" si="3"/>
        <v>0</v>
      </c>
      <c r="AD54" s="1509">
        <v>0</v>
      </c>
      <c r="AE54" s="1311" t="s">
        <v>1090</v>
      </c>
      <c r="AF54" s="1311">
        <f t="shared" si="4"/>
        <v>0</v>
      </c>
      <c r="AG54" s="1371">
        <f t="shared" si="5"/>
        <v>0</v>
      </c>
      <c r="AH54" s="1371">
        <v>0</v>
      </c>
      <c r="AI54" s="1378">
        <v>0</v>
      </c>
      <c r="AJ54" s="1371" t="e">
        <v>#DIV/0!</v>
      </c>
      <c r="AK54" s="1378" t="s">
        <v>1806</v>
      </c>
      <c r="AL54" s="1378"/>
      <c r="AM54" s="1831">
        <f t="shared" si="6"/>
        <v>2</v>
      </c>
      <c r="AN54" s="1699">
        <f t="shared" si="7"/>
        <v>1</v>
      </c>
      <c r="AO54" s="1697">
        <v>0</v>
      </c>
      <c r="AP54" s="1699">
        <f t="shared" si="8"/>
        <v>0</v>
      </c>
      <c r="AQ54" s="1699">
        <f t="shared" si="9"/>
        <v>0</v>
      </c>
      <c r="AR54" s="1699">
        <f t="shared" si="0"/>
        <v>0</v>
      </c>
      <c r="AS54" s="1743">
        <v>0</v>
      </c>
      <c r="AT54" s="1699">
        <v>0</v>
      </c>
      <c r="AU54" s="1692" t="s">
        <v>2337</v>
      </c>
      <c r="AV54" s="1692"/>
      <c r="AW54" s="2066">
        <f t="shared" si="10"/>
        <v>2</v>
      </c>
      <c r="AX54" s="1990">
        <f t="shared" si="15"/>
        <v>1</v>
      </c>
      <c r="AY54" s="1989">
        <v>0</v>
      </c>
      <c r="AZ54" s="1990">
        <f t="shared" si="11"/>
        <v>0</v>
      </c>
      <c r="BA54" s="1990">
        <f t="shared" si="12"/>
        <v>0</v>
      </c>
      <c r="BB54" s="1990">
        <v>0</v>
      </c>
      <c r="BC54" s="2300">
        <v>0</v>
      </c>
      <c r="BD54" s="1989" t="s">
        <v>1090</v>
      </c>
      <c r="BE54" s="2084"/>
      <c r="BF54" s="2084" t="s">
        <v>2599</v>
      </c>
      <c r="BG54" s="2497">
        <f t="shared" si="13"/>
        <v>6</v>
      </c>
      <c r="BH54" s="2498">
        <f t="shared" si="14"/>
        <v>1</v>
      </c>
      <c r="BI54" s="2405">
        <v>0</v>
      </c>
      <c r="BJ54" s="2336">
        <v>0</v>
      </c>
      <c r="BK54" s="2336"/>
      <c r="BL54" s="2336">
        <v>0</v>
      </c>
      <c r="BM54" s="2338"/>
      <c r="BN54" s="2337"/>
      <c r="BO54" s="2339"/>
      <c r="BP54" s="2339" t="s">
        <v>3050</v>
      </c>
    </row>
    <row r="55" spans="1:68" s="211" customFormat="1" ht="39" thickBot="1">
      <c r="A55" s="2896"/>
      <c r="B55" s="2897"/>
      <c r="C55" s="2885"/>
      <c r="D55" s="1790" t="s">
        <v>1041</v>
      </c>
      <c r="E55" s="1791" t="s">
        <v>1031</v>
      </c>
      <c r="F55" s="1792">
        <v>1</v>
      </c>
      <c r="G55" s="1793" t="s">
        <v>1042</v>
      </c>
      <c r="H55" s="1798" t="s">
        <v>1968</v>
      </c>
      <c r="I55" s="453">
        <v>0.015873015873015872</v>
      </c>
      <c r="J55" s="1793" t="s">
        <v>1043</v>
      </c>
      <c r="K55" s="1794">
        <v>42005</v>
      </c>
      <c r="L55" s="1794">
        <v>42369</v>
      </c>
      <c r="M55" s="1797"/>
      <c r="N55" s="1797">
        <v>1</v>
      </c>
      <c r="O55" s="1797"/>
      <c r="P55" s="1797"/>
      <c r="Q55" s="1797"/>
      <c r="R55" s="1797"/>
      <c r="S55" s="1797"/>
      <c r="T55" s="1797"/>
      <c r="U55" s="1797"/>
      <c r="V55" s="1797"/>
      <c r="W55" s="1797"/>
      <c r="X55" s="1797"/>
      <c r="Y55" s="1796">
        <v>1</v>
      </c>
      <c r="Z55" s="454">
        <v>0</v>
      </c>
      <c r="AA55" s="1790" t="s">
        <v>1090</v>
      </c>
      <c r="AB55" s="1378">
        <f t="shared" si="2"/>
        <v>1</v>
      </c>
      <c r="AC55" s="1311">
        <f t="shared" si="3"/>
        <v>1</v>
      </c>
      <c r="AD55" s="1509">
        <v>1</v>
      </c>
      <c r="AE55" s="1311">
        <f t="shared" si="16"/>
        <v>1</v>
      </c>
      <c r="AF55" s="1311">
        <f t="shared" si="4"/>
        <v>1</v>
      </c>
      <c r="AG55" s="1371">
        <f t="shared" si="5"/>
        <v>1</v>
      </c>
      <c r="AH55" s="1371">
        <v>0</v>
      </c>
      <c r="AI55" s="1378">
        <v>0</v>
      </c>
      <c r="AJ55" s="1371" t="e">
        <v>#DIV/0!</v>
      </c>
      <c r="AK55" s="1378" t="s">
        <v>1807</v>
      </c>
      <c r="AL55" s="1378"/>
      <c r="AM55" s="1831">
        <f t="shared" si="6"/>
        <v>1</v>
      </c>
      <c r="AN55" s="1699">
        <f t="shared" si="7"/>
        <v>1</v>
      </c>
      <c r="AO55" s="1697">
        <v>0</v>
      </c>
      <c r="AP55" s="1699">
        <f t="shared" si="8"/>
        <v>0</v>
      </c>
      <c r="AQ55" s="1699">
        <f t="shared" si="9"/>
        <v>0</v>
      </c>
      <c r="AR55" s="1699">
        <f t="shared" si="0"/>
        <v>0</v>
      </c>
      <c r="AS55" s="1743">
        <v>0</v>
      </c>
      <c r="AT55" s="1699">
        <v>0</v>
      </c>
      <c r="AU55" s="1692" t="s">
        <v>2338</v>
      </c>
      <c r="AV55" s="1692"/>
      <c r="AW55" s="2066">
        <f t="shared" si="10"/>
        <v>0</v>
      </c>
      <c r="AX55" s="1990">
        <f t="shared" si="15"/>
        <v>0</v>
      </c>
      <c r="AY55" s="1989">
        <v>0</v>
      </c>
      <c r="AZ55" s="1990" t="s">
        <v>1090</v>
      </c>
      <c r="BA55" s="1990">
        <f t="shared" si="12"/>
        <v>0</v>
      </c>
      <c r="BB55" s="1990">
        <v>1</v>
      </c>
      <c r="BC55" s="2300">
        <v>0</v>
      </c>
      <c r="BD55" s="1989" t="s">
        <v>1090</v>
      </c>
      <c r="BE55" s="2084" t="s">
        <v>2600</v>
      </c>
      <c r="BF55" s="2084"/>
      <c r="BG55" s="2497">
        <f t="shared" si="13"/>
        <v>1</v>
      </c>
      <c r="BH55" s="2498">
        <f t="shared" si="14"/>
        <v>1</v>
      </c>
      <c r="BI55" s="2405">
        <v>1</v>
      </c>
      <c r="BJ55" s="2336">
        <v>1</v>
      </c>
      <c r="BK55" s="2336"/>
      <c r="BL55" s="2336">
        <v>1</v>
      </c>
      <c r="BM55" s="2338"/>
      <c r="BN55" s="2337"/>
      <c r="BO55" s="2339" t="s">
        <v>2600</v>
      </c>
      <c r="BP55" s="2339"/>
    </row>
    <row r="56" spans="1:68" s="211" customFormat="1" ht="26.25" thickBot="1">
      <c r="A56" s="2896"/>
      <c r="B56" s="2897"/>
      <c r="C56" s="2885"/>
      <c r="D56" s="1790" t="s">
        <v>1044</v>
      </c>
      <c r="E56" s="1791" t="s">
        <v>1045</v>
      </c>
      <c r="F56" s="1792">
        <v>1</v>
      </c>
      <c r="G56" s="1793" t="s">
        <v>1036</v>
      </c>
      <c r="H56" s="1798" t="s">
        <v>1968</v>
      </c>
      <c r="I56" s="453">
        <v>0.015873015873015872</v>
      </c>
      <c r="J56" s="1793" t="s">
        <v>1046</v>
      </c>
      <c r="K56" s="1794">
        <v>42005</v>
      </c>
      <c r="L56" s="1794">
        <v>42369</v>
      </c>
      <c r="M56" s="1797"/>
      <c r="N56" s="1797">
        <v>1</v>
      </c>
      <c r="O56" s="1797"/>
      <c r="P56" s="1797"/>
      <c r="Q56" s="1797"/>
      <c r="R56" s="1797"/>
      <c r="S56" s="1797"/>
      <c r="T56" s="1797"/>
      <c r="U56" s="1797"/>
      <c r="V56" s="1797"/>
      <c r="W56" s="1797"/>
      <c r="X56" s="1797"/>
      <c r="Y56" s="1796">
        <v>1</v>
      </c>
      <c r="Z56" s="454">
        <v>0</v>
      </c>
      <c r="AA56" s="1790" t="s">
        <v>1090</v>
      </c>
      <c r="AB56" s="1378">
        <f t="shared" si="2"/>
        <v>1</v>
      </c>
      <c r="AC56" s="1311">
        <f t="shared" si="3"/>
        <v>1</v>
      </c>
      <c r="AD56" s="1509">
        <v>1</v>
      </c>
      <c r="AE56" s="1311">
        <f t="shared" si="16"/>
        <v>1</v>
      </c>
      <c r="AF56" s="1311">
        <f t="shared" si="4"/>
        <v>1</v>
      </c>
      <c r="AG56" s="1371">
        <f t="shared" si="5"/>
        <v>1</v>
      </c>
      <c r="AH56" s="1371">
        <v>1</v>
      </c>
      <c r="AI56" s="1378">
        <v>0</v>
      </c>
      <c r="AJ56" s="1371" t="e">
        <v>#DIV/0!</v>
      </c>
      <c r="AK56" s="1378" t="s">
        <v>1969</v>
      </c>
      <c r="AL56" s="1378"/>
      <c r="AM56" s="1831">
        <f t="shared" si="6"/>
        <v>1</v>
      </c>
      <c r="AN56" s="1699">
        <f t="shared" si="7"/>
        <v>1</v>
      </c>
      <c r="AO56" s="1697">
        <v>0</v>
      </c>
      <c r="AP56" s="1699">
        <f t="shared" si="8"/>
        <v>0</v>
      </c>
      <c r="AQ56" s="1699">
        <f t="shared" si="9"/>
        <v>0</v>
      </c>
      <c r="AR56" s="1699">
        <f t="shared" si="0"/>
        <v>0</v>
      </c>
      <c r="AS56" s="1743">
        <v>0</v>
      </c>
      <c r="AT56" s="1699">
        <v>0</v>
      </c>
      <c r="AU56" s="1692" t="s">
        <v>2338</v>
      </c>
      <c r="AV56" s="1692"/>
      <c r="AW56" s="2066">
        <f t="shared" si="10"/>
        <v>0</v>
      </c>
      <c r="AX56" s="1990">
        <f t="shared" si="15"/>
        <v>0</v>
      </c>
      <c r="AY56" s="1989">
        <v>0</v>
      </c>
      <c r="AZ56" s="1990" t="s">
        <v>1090</v>
      </c>
      <c r="BA56" s="1990">
        <f t="shared" si="12"/>
        <v>0</v>
      </c>
      <c r="BB56" s="1990">
        <v>1</v>
      </c>
      <c r="BC56" s="2300">
        <v>0</v>
      </c>
      <c r="BD56" s="1989" t="s">
        <v>1090</v>
      </c>
      <c r="BE56" s="2084" t="s">
        <v>2601</v>
      </c>
      <c r="BF56" s="2084"/>
      <c r="BG56" s="2497">
        <f t="shared" si="13"/>
        <v>1</v>
      </c>
      <c r="BH56" s="2498">
        <f t="shared" si="14"/>
        <v>1</v>
      </c>
      <c r="BI56" s="2405">
        <v>1</v>
      </c>
      <c r="BJ56" s="2336">
        <v>1</v>
      </c>
      <c r="BK56" s="2336"/>
      <c r="BL56" s="2336">
        <v>1</v>
      </c>
      <c r="BM56" s="2338"/>
      <c r="BN56" s="2337"/>
      <c r="BO56" s="2339" t="s">
        <v>2601</v>
      </c>
      <c r="BP56" s="2339"/>
    </row>
    <row r="57" spans="1:68" s="455" customFormat="1" ht="132.75" thickBot="1">
      <c r="A57" s="2896"/>
      <c r="B57" s="2897"/>
      <c r="C57" s="2885"/>
      <c r="D57" s="1801" t="s">
        <v>1047</v>
      </c>
      <c r="E57" s="1791" t="s">
        <v>1048</v>
      </c>
      <c r="F57" s="1792">
        <v>1</v>
      </c>
      <c r="G57" s="1793" t="s">
        <v>1036</v>
      </c>
      <c r="H57" s="1798" t="s">
        <v>1968</v>
      </c>
      <c r="I57" s="453">
        <v>0.015873015873015872</v>
      </c>
      <c r="J57" s="1793" t="s">
        <v>1049</v>
      </c>
      <c r="K57" s="1794">
        <v>42005</v>
      </c>
      <c r="L57" s="1794">
        <v>42369</v>
      </c>
      <c r="M57" s="1797"/>
      <c r="N57" s="1797"/>
      <c r="O57" s="1797"/>
      <c r="P57" s="1797"/>
      <c r="Q57" s="1797"/>
      <c r="R57" s="1797"/>
      <c r="S57" s="1797"/>
      <c r="T57" s="1797"/>
      <c r="U57" s="1797"/>
      <c r="V57" s="1797"/>
      <c r="W57" s="1797">
        <v>1</v>
      </c>
      <c r="X57" s="1797"/>
      <c r="Y57" s="1796">
        <f t="shared" si="1"/>
        <v>1</v>
      </c>
      <c r="Z57" s="454">
        <v>5000000</v>
      </c>
      <c r="AA57" s="1790" t="s">
        <v>1090</v>
      </c>
      <c r="AB57" s="1378">
        <f t="shared" si="2"/>
        <v>0</v>
      </c>
      <c r="AC57" s="1311">
        <f t="shared" si="3"/>
        <v>0</v>
      </c>
      <c r="AD57" s="1509">
        <v>0</v>
      </c>
      <c r="AE57" s="1311" t="s">
        <v>1090</v>
      </c>
      <c r="AF57" s="1311">
        <f t="shared" si="4"/>
        <v>0</v>
      </c>
      <c r="AG57" s="1371">
        <f t="shared" si="5"/>
        <v>0</v>
      </c>
      <c r="AH57" s="1371">
        <v>0</v>
      </c>
      <c r="AI57" s="1378">
        <v>0</v>
      </c>
      <c r="AJ57" s="1371" t="e">
        <v>#DIV/0!</v>
      </c>
      <c r="AK57" s="1378"/>
      <c r="AL57" s="1378"/>
      <c r="AM57" s="1831">
        <f t="shared" si="6"/>
        <v>0</v>
      </c>
      <c r="AN57" s="1699">
        <f t="shared" si="7"/>
        <v>0</v>
      </c>
      <c r="AO57" s="1697">
        <v>0</v>
      </c>
      <c r="AP57" s="1699" t="s">
        <v>1090</v>
      </c>
      <c r="AQ57" s="1699">
        <f t="shared" si="9"/>
        <v>0</v>
      </c>
      <c r="AR57" s="1699">
        <v>0</v>
      </c>
      <c r="AS57" s="1743">
        <v>0</v>
      </c>
      <c r="AT57" s="1699">
        <v>0</v>
      </c>
      <c r="AU57" s="1692"/>
      <c r="AV57" s="1692" t="s">
        <v>2339</v>
      </c>
      <c r="AW57" s="2066">
        <f t="shared" si="10"/>
        <v>0</v>
      </c>
      <c r="AX57" s="1990">
        <f t="shared" si="15"/>
        <v>0</v>
      </c>
      <c r="AY57" s="1989">
        <v>0</v>
      </c>
      <c r="AZ57" s="1990" t="s">
        <v>1090</v>
      </c>
      <c r="BA57" s="1990">
        <f t="shared" si="12"/>
        <v>0</v>
      </c>
      <c r="BB57" s="1990">
        <v>0</v>
      </c>
      <c r="BC57" s="2300">
        <v>0</v>
      </c>
      <c r="BD57" s="1989" t="s">
        <v>1090</v>
      </c>
      <c r="BE57" s="2084" t="s">
        <v>2602</v>
      </c>
      <c r="BF57" s="2084" t="s">
        <v>2339</v>
      </c>
      <c r="BG57" s="2497">
        <f t="shared" si="13"/>
        <v>0</v>
      </c>
      <c r="BH57" s="2498">
        <f t="shared" si="14"/>
        <v>0</v>
      </c>
      <c r="BI57" s="2405" t="s">
        <v>1090</v>
      </c>
      <c r="BJ57" s="2336" t="s">
        <v>1090</v>
      </c>
      <c r="BK57" s="2336"/>
      <c r="BL57" s="2336">
        <v>0</v>
      </c>
      <c r="BM57" s="2338"/>
      <c r="BN57" s="2337"/>
      <c r="BO57" s="2339" t="s">
        <v>3051</v>
      </c>
      <c r="BP57" s="2339" t="s">
        <v>3052</v>
      </c>
    </row>
    <row r="58" spans="1:68" s="455" customFormat="1" ht="26.25" thickBot="1">
      <c r="A58" s="2896"/>
      <c r="B58" s="2897"/>
      <c r="C58" s="2885"/>
      <c r="D58" s="1801" t="s">
        <v>1040</v>
      </c>
      <c r="E58" s="1791" t="s">
        <v>1024</v>
      </c>
      <c r="F58" s="1792">
        <v>10</v>
      </c>
      <c r="G58" s="1793" t="s">
        <v>1036</v>
      </c>
      <c r="H58" s="1798" t="s">
        <v>1968</v>
      </c>
      <c r="I58" s="453">
        <v>0.015873015873015872</v>
      </c>
      <c r="J58" s="1793" t="s">
        <v>1050</v>
      </c>
      <c r="K58" s="1794">
        <v>42005</v>
      </c>
      <c r="L58" s="1794">
        <v>42369</v>
      </c>
      <c r="M58" s="1797"/>
      <c r="N58" s="1797"/>
      <c r="O58" s="1797"/>
      <c r="P58" s="1797"/>
      <c r="Q58" s="1797"/>
      <c r="R58" s="1797"/>
      <c r="S58" s="1797"/>
      <c r="T58" s="1797"/>
      <c r="U58" s="1797"/>
      <c r="V58" s="1797"/>
      <c r="W58" s="1797">
        <v>1</v>
      </c>
      <c r="X58" s="1797">
        <v>1</v>
      </c>
      <c r="Y58" s="1796">
        <f t="shared" si="1"/>
        <v>2</v>
      </c>
      <c r="Z58" s="454">
        <v>0</v>
      </c>
      <c r="AA58" s="1790" t="s">
        <v>1090</v>
      </c>
      <c r="AB58" s="1378">
        <f t="shared" si="2"/>
        <v>0</v>
      </c>
      <c r="AC58" s="1311">
        <f t="shared" si="3"/>
        <v>0</v>
      </c>
      <c r="AD58" s="1509">
        <v>0</v>
      </c>
      <c r="AE58" s="1311" t="s">
        <v>1090</v>
      </c>
      <c r="AF58" s="1311">
        <f t="shared" si="4"/>
        <v>0</v>
      </c>
      <c r="AG58" s="1371">
        <f t="shared" si="5"/>
        <v>0</v>
      </c>
      <c r="AH58" s="1371">
        <v>0</v>
      </c>
      <c r="AI58" s="1378">
        <v>0</v>
      </c>
      <c r="AJ58" s="1371" t="e">
        <v>#DIV/0!</v>
      </c>
      <c r="AK58" s="1378" t="s">
        <v>1806</v>
      </c>
      <c r="AL58" s="1378"/>
      <c r="AM58" s="1831">
        <f t="shared" si="6"/>
        <v>0</v>
      </c>
      <c r="AN58" s="1699">
        <f t="shared" si="7"/>
        <v>0</v>
      </c>
      <c r="AO58" s="1697">
        <v>0</v>
      </c>
      <c r="AP58" s="1699" t="s">
        <v>1090</v>
      </c>
      <c r="AQ58" s="1699">
        <f t="shared" si="9"/>
        <v>0</v>
      </c>
      <c r="AR58" s="1699">
        <v>0</v>
      </c>
      <c r="AS58" s="1743">
        <v>0</v>
      </c>
      <c r="AT58" s="1699">
        <v>0</v>
      </c>
      <c r="AU58" s="1692"/>
      <c r="AV58" s="1692"/>
      <c r="AW58" s="2066">
        <f t="shared" si="10"/>
        <v>0</v>
      </c>
      <c r="AX58" s="1990">
        <f t="shared" si="15"/>
        <v>0</v>
      </c>
      <c r="AY58" s="1989">
        <v>0</v>
      </c>
      <c r="AZ58" s="1990" t="s">
        <v>1090</v>
      </c>
      <c r="BA58" s="1990">
        <f t="shared" si="12"/>
        <v>0</v>
      </c>
      <c r="BB58" s="1990">
        <v>0</v>
      </c>
      <c r="BC58" s="2300">
        <v>0</v>
      </c>
      <c r="BD58" s="1989" t="s">
        <v>1090</v>
      </c>
      <c r="BE58" s="2084" t="s">
        <v>2603</v>
      </c>
      <c r="BF58" s="2084"/>
      <c r="BG58" s="2497">
        <f t="shared" si="13"/>
        <v>0</v>
      </c>
      <c r="BH58" s="2498">
        <f t="shared" si="14"/>
        <v>0</v>
      </c>
      <c r="BI58" s="2405" t="s">
        <v>1090</v>
      </c>
      <c r="BJ58" s="2336" t="s">
        <v>1090</v>
      </c>
      <c r="BK58" s="2336"/>
      <c r="BL58" s="2336">
        <v>0</v>
      </c>
      <c r="BM58" s="2338"/>
      <c r="BN58" s="2337"/>
      <c r="BO58" s="2339" t="s">
        <v>2603</v>
      </c>
      <c r="BP58" s="2339"/>
    </row>
    <row r="59" spans="1:68" s="455" customFormat="1" ht="36.75" customHeight="1" thickBot="1">
      <c r="A59" s="2896"/>
      <c r="B59" s="2897"/>
      <c r="C59" s="2886"/>
      <c r="D59" s="1801" t="s">
        <v>1051</v>
      </c>
      <c r="E59" s="1791" t="s">
        <v>287</v>
      </c>
      <c r="F59" s="1792">
        <v>1</v>
      </c>
      <c r="G59" s="1793" t="s">
        <v>1052</v>
      </c>
      <c r="H59" s="1798" t="s">
        <v>1968</v>
      </c>
      <c r="I59" s="453">
        <v>0.015873015873015872</v>
      </c>
      <c r="J59" s="1793" t="s">
        <v>287</v>
      </c>
      <c r="K59" s="1794">
        <v>42005</v>
      </c>
      <c r="L59" s="1794">
        <v>42369</v>
      </c>
      <c r="M59" s="1797"/>
      <c r="N59" s="1797"/>
      <c r="O59" s="1797"/>
      <c r="P59" s="1797"/>
      <c r="Q59" s="1797"/>
      <c r="R59" s="1797"/>
      <c r="S59" s="1797"/>
      <c r="T59" s="1797"/>
      <c r="U59" s="1797"/>
      <c r="V59" s="1797"/>
      <c r="W59" s="1797"/>
      <c r="X59" s="1797">
        <v>1</v>
      </c>
      <c r="Y59" s="1796">
        <f t="shared" si="1"/>
        <v>1</v>
      </c>
      <c r="Z59" s="454">
        <v>0</v>
      </c>
      <c r="AA59" s="1790" t="s">
        <v>1090</v>
      </c>
      <c r="AB59" s="1378">
        <f t="shared" si="2"/>
        <v>0</v>
      </c>
      <c r="AC59" s="1311">
        <f t="shared" si="3"/>
        <v>0</v>
      </c>
      <c r="AD59" s="1509">
        <v>0</v>
      </c>
      <c r="AE59" s="1311" t="s">
        <v>1090</v>
      </c>
      <c r="AF59" s="1311">
        <f t="shared" si="4"/>
        <v>0</v>
      </c>
      <c r="AG59" s="1371">
        <f t="shared" si="5"/>
        <v>0</v>
      </c>
      <c r="AH59" s="1371">
        <v>100</v>
      </c>
      <c r="AI59" s="1378">
        <v>0</v>
      </c>
      <c r="AJ59" s="1371" t="e">
        <v>#DIV/0!</v>
      </c>
      <c r="AK59" s="1378" t="s">
        <v>1808</v>
      </c>
      <c r="AL59" s="1378"/>
      <c r="AM59" s="1831">
        <f t="shared" si="6"/>
        <v>0</v>
      </c>
      <c r="AN59" s="1699">
        <f t="shared" si="7"/>
        <v>0</v>
      </c>
      <c r="AO59" s="1697">
        <v>0</v>
      </c>
      <c r="AP59" s="1699" t="s">
        <v>1090</v>
      </c>
      <c r="AQ59" s="1699">
        <f t="shared" si="9"/>
        <v>0</v>
      </c>
      <c r="AR59" s="1699">
        <v>0</v>
      </c>
      <c r="AS59" s="1743">
        <v>0</v>
      </c>
      <c r="AT59" s="1699">
        <v>0</v>
      </c>
      <c r="AU59" s="1692"/>
      <c r="AV59" s="1692"/>
      <c r="AW59" s="2066">
        <f t="shared" si="10"/>
        <v>0</v>
      </c>
      <c r="AX59" s="1990">
        <f t="shared" si="15"/>
        <v>0</v>
      </c>
      <c r="AY59" s="1989">
        <v>0</v>
      </c>
      <c r="AZ59" s="1990" t="s">
        <v>1090</v>
      </c>
      <c r="BA59" s="1990">
        <f t="shared" si="12"/>
        <v>0</v>
      </c>
      <c r="BB59" s="1990">
        <v>0</v>
      </c>
      <c r="BC59" s="2300">
        <v>0</v>
      </c>
      <c r="BD59" s="1989" t="s">
        <v>1090</v>
      </c>
      <c r="BE59" s="2084" t="s">
        <v>1808</v>
      </c>
      <c r="BF59" s="2084"/>
      <c r="BG59" s="2497">
        <f t="shared" si="13"/>
        <v>0</v>
      </c>
      <c r="BH59" s="2498">
        <f t="shared" si="14"/>
        <v>0</v>
      </c>
      <c r="BI59" s="2405" t="s">
        <v>1090</v>
      </c>
      <c r="BJ59" s="2336" t="s">
        <v>1090</v>
      </c>
      <c r="BK59" s="2336"/>
      <c r="BL59" s="2336">
        <v>0</v>
      </c>
      <c r="BM59" s="2338"/>
      <c r="BN59" s="2337"/>
      <c r="BO59" s="2339" t="s">
        <v>1808</v>
      </c>
      <c r="BP59" s="2339"/>
    </row>
    <row r="60" spans="1:68" s="455" customFormat="1" ht="39" thickBot="1">
      <c r="A60" s="2896"/>
      <c r="B60" s="2897"/>
      <c r="C60" s="2893" t="s">
        <v>1053</v>
      </c>
      <c r="D60" s="1801" t="s">
        <v>1054</v>
      </c>
      <c r="E60" s="1791" t="s">
        <v>1031</v>
      </c>
      <c r="F60" s="1792">
        <v>1</v>
      </c>
      <c r="G60" s="1793" t="s">
        <v>1042</v>
      </c>
      <c r="H60" s="1798" t="s">
        <v>1968</v>
      </c>
      <c r="I60" s="453">
        <v>0.015873015873015872</v>
      </c>
      <c r="J60" s="1793" t="s">
        <v>1055</v>
      </c>
      <c r="K60" s="1794">
        <v>42005</v>
      </c>
      <c r="L60" s="1794">
        <v>42369</v>
      </c>
      <c r="M60" s="1797"/>
      <c r="N60" s="1797">
        <v>1</v>
      </c>
      <c r="O60" s="1797"/>
      <c r="P60" s="1797"/>
      <c r="Q60" s="1797"/>
      <c r="R60" s="1797"/>
      <c r="S60" s="1797"/>
      <c r="T60" s="1797"/>
      <c r="U60" s="1797"/>
      <c r="V60" s="1797"/>
      <c r="W60" s="1797"/>
      <c r="X60" s="1797"/>
      <c r="Y60" s="1796">
        <f t="shared" si="1"/>
        <v>1</v>
      </c>
      <c r="Z60" s="454">
        <v>0</v>
      </c>
      <c r="AA60" s="1790" t="s">
        <v>1090</v>
      </c>
      <c r="AB60" s="1378">
        <f t="shared" si="2"/>
        <v>1</v>
      </c>
      <c r="AC60" s="1311">
        <f t="shared" si="3"/>
        <v>1</v>
      </c>
      <c r="AD60" s="1509">
        <v>1</v>
      </c>
      <c r="AE60" s="1311">
        <f t="shared" si="16"/>
        <v>1</v>
      </c>
      <c r="AF60" s="1311">
        <f t="shared" si="4"/>
        <v>1</v>
      </c>
      <c r="AG60" s="1371">
        <f t="shared" si="5"/>
        <v>1</v>
      </c>
      <c r="AH60" s="1371">
        <v>0</v>
      </c>
      <c r="AI60" s="1378">
        <v>0</v>
      </c>
      <c r="AJ60" s="1371" t="e">
        <v>#DIV/0!</v>
      </c>
      <c r="AK60" s="1378" t="s">
        <v>1809</v>
      </c>
      <c r="AL60" s="1378"/>
      <c r="AM60" s="1831">
        <f t="shared" si="6"/>
        <v>1</v>
      </c>
      <c r="AN60" s="1699">
        <f t="shared" si="7"/>
        <v>1</v>
      </c>
      <c r="AO60" s="1697">
        <v>0</v>
      </c>
      <c r="AP60" s="1699">
        <f t="shared" si="8"/>
        <v>0</v>
      </c>
      <c r="AQ60" s="1699">
        <f t="shared" si="9"/>
        <v>0</v>
      </c>
      <c r="AR60" s="1699">
        <f t="shared" si="0"/>
        <v>0</v>
      </c>
      <c r="AS60" s="1743">
        <v>0</v>
      </c>
      <c r="AT60" s="1699">
        <v>0</v>
      </c>
      <c r="AU60" s="1692"/>
      <c r="AV60" s="1692"/>
      <c r="AW60" s="2066">
        <f t="shared" si="10"/>
        <v>0</v>
      </c>
      <c r="AX60" s="1990">
        <f t="shared" si="15"/>
        <v>0</v>
      </c>
      <c r="AY60" s="1989">
        <v>0</v>
      </c>
      <c r="AZ60" s="1990" t="s">
        <v>1090</v>
      </c>
      <c r="BA60" s="1990">
        <f t="shared" si="12"/>
        <v>0</v>
      </c>
      <c r="BB60" s="1990">
        <v>1</v>
      </c>
      <c r="BC60" s="2300">
        <v>0</v>
      </c>
      <c r="BD60" s="1989" t="s">
        <v>1090</v>
      </c>
      <c r="BE60" s="2084" t="s">
        <v>2604</v>
      </c>
      <c r="BF60" s="2084"/>
      <c r="BG60" s="2497">
        <f t="shared" si="13"/>
        <v>1</v>
      </c>
      <c r="BH60" s="2498">
        <f t="shared" si="14"/>
        <v>1</v>
      </c>
      <c r="BI60" s="2405">
        <v>1</v>
      </c>
      <c r="BJ60" s="2336">
        <v>1</v>
      </c>
      <c r="BK60" s="2336"/>
      <c r="BL60" s="2336">
        <v>1</v>
      </c>
      <c r="BM60" s="2338"/>
      <c r="BN60" s="2337"/>
      <c r="BO60" s="2339" t="s">
        <v>2604</v>
      </c>
      <c r="BP60" s="2339"/>
    </row>
    <row r="61" spans="1:68" s="455" customFormat="1" ht="51.75" thickBot="1">
      <c r="A61" s="2896"/>
      <c r="B61" s="2897"/>
      <c r="C61" s="2893"/>
      <c r="D61" s="1801" t="s">
        <v>1056</v>
      </c>
      <c r="E61" s="1791" t="s">
        <v>1057</v>
      </c>
      <c r="F61" s="1792">
        <v>1</v>
      </c>
      <c r="G61" s="1793" t="s">
        <v>1036</v>
      </c>
      <c r="H61" s="1798" t="s">
        <v>1968</v>
      </c>
      <c r="I61" s="453">
        <v>0.015873015873015872</v>
      </c>
      <c r="J61" s="1793" t="s">
        <v>1046</v>
      </c>
      <c r="K61" s="1794">
        <v>42005</v>
      </c>
      <c r="L61" s="1794">
        <v>42369</v>
      </c>
      <c r="M61" s="1797"/>
      <c r="N61" s="1797">
        <v>1</v>
      </c>
      <c r="O61" s="1797"/>
      <c r="P61" s="1797"/>
      <c r="Q61" s="1797"/>
      <c r="R61" s="1797"/>
      <c r="S61" s="1797"/>
      <c r="T61" s="1797"/>
      <c r="U61" s="1797"/>
      <c r="V61" s="1797"/>
      <c r="W61" s="1797"/>
      <c r="X61" s="1797"/>
      <c r="Y61" s="1796">
        <f t="shared" si="1"/>
        <v>1</v>
      </c>
      <c r="Z61" s="454">
        <v>0</v>
      </c>
      <c r="AA61" s="1790" t="s">
        <v>1090</v>
      </c>
      <c r="AB61" s="1378">
        <f t="shared" si="2"/>
        <v>1</v>
      </c>
      <c r="AC61" s="1311">
        <f t="shared" si="3"/>
        <v>1</v>
      </c>
      <c r="AD61" s="1509">
        <v>0</v>
      </c>
      <c r="AE61" s="1311">
        <f t="shared" si="16"/>
        <v>0</v>
      </c>
      <c r="AF61" s="1311">
        <f t="shared" si="4"/>
        <v>0</v>
      </c>
      <c r="AG61" s="1371">
        <f t="shared" si="5"/>
        <v>0</v>
      </c>
      <c r="AH61" s="1371">
        <v>8.333333333333334</v>
      </c>
      <c r="AI61" s="1378">
        <v>0</v>
      </c>
      <c r="AJ61" s="1371" t="e">
        <v>#DIV/0!</v>
      </c>
      <c r="AK61" s="1378" t="s">
        <v>1810</v>
      </c>
      <c r="AL61" s="1378"/>
      <c r="AM61" s="1831">
        <f t="shared" si="6"/>
        <v>1</v>
      </c>
      <c r="AN61" s="1699">
        <f t="shared" si="7"/>
        <v>1</v>
      </c>
      <c r="AO61" s="1697">
        <v>0</v>
      </c>
      <c r="AP61" s="1699">
        <f t="shared" si="8"/>
        <v>0</v>
      </c>
      <c r="AQ61" s="1699">
        <f t="shared" si="9"/>
        <v>0</v>
      </c>
      <c r="AR61" s="1699">
        <f t="shared" si="0"/>
        <v>0</v>
      </c>
      <c r="AS61" s="1743">
        <v>0</v>
      </c>
      <c r="AT61" s="1699">
        <v>0</v>
      </c>
      <c r="AU61" s="1692"/>
      <c r="AV61" s="1692"/>
      <c r="AW61" s="2066">
        <f t="shared" si="10"/>
        <v>0</v>
      </c>
      <c r="AX61" s="1990">
        <f t="shared" si="15"/>
        <v>0</v>
      </c>
      <c r="AY61" s="1989">
        <v>0</v>
      </c>
      <c r="AZ61" s="1990" t="s">
        <v>1090</v>
      </c>
      <c r="BA61" s="1990">
        <f t="shared" si="12"/>
        <v>0</v>
      </c>
      <c r="BB61" s="1990">
        <v>0</v>
      </c>
      <c r="BC61" s="2300">
        <v>0</v>
      </c>
      <c r="BD61" s="1989" t="s">
        <v>1090</v>
      </c>
      <c r="BE61" s="2084" t="s">
        <v>2601</v>
      </c>
      <c r="BF61" s="2084"/>
      <c r="BG61" s="2497">
        <f t="shared" si="13"/>
        <v>1</v>
      </c>
      <c r="BH61" s="2498">
        <f t="shared" si="14"/>
        <v>1</v>
      </c>
      <c r="BI61" s="2405">
        <v>1</v>
      </c>
      <c r="BJ61" s="2336">
        <v>1</v>
      </c>
      <c r="BK61" s="2336"/>
      <c r="BL61" s="2336">
        <v>1</v>
      </c>
      <c r="BM61" s="2338"/>
      <c r="BN61" s="2337"/>
      <c r="BO61" s="2339" t="s">
        <v>2601</v>
      </c>
      <c r="BP61" s="2339"/>
    </row>
    <row r="62" spans="1:68" s="455" customFormat="1" ht="66.75" thickBot="1">
      <c r="A62" s="2896"/>
      <c r="B62" s="2897"/>
      <c r="C62" s="2893"/>
      <c r="D62" s="1801" t="s">
        <v>1058</v>
      </c>
      <c r="E62" s="1791" t="s">
        <v>1039</v>
      </c>
      <c r="F62" s="1792">
        <v>12</v>
      </c>
      <c r="G62" s="1793" t="s">
        <v>1036</v>
      </c>
      <c r="H62" s="1798" t="s">
        <v>1968</v>
      </c>
      <c r="I62" s="453">
        <v>0.015873015873015872</v>
      </c>
      <c r="J62" s="1793" t="s">
        <v>948</v>
      </c>
      <c r="K62" s="1794">
        <v>42005</v>
      </c>
      <c r="L62" s="1794">
        <v>42369</v>
      </c>
      <c r="M62" s="1797"/>
      <c r="N62" s="1797"/>
      <c r="O62" s="1797">
        <v>1</v>
      </c>
      <c r="P62" s="1797">
        <v>1</v>
      </c>
      <c r="Q62" s="1797">
        <v>1</v>
      </c>
      <c r="R62" s="1797">
        <v>1</v>
      </c>
      <c r="S62" s="1797">
        <v>1</v>
      </c>
      <c r="T62" s="1797">
        <v>1</v>
      </c>
      <c r="U62" s="1797">
        <v>1</v>
      </c>
      <c r="V62" s="1797">
        <v>1</v>
      </c>
      <c r="W62" s="1797">
        <v>1</v>
      </c>
      <c r="X62" s="1797">
        <v>1</v>
      </c>
      <c r="Y62" s="1796">
        <f t="shared" si="1"/>
        <v>10</v>
      </c>
      <c r="Z62" s="454">
        <v>20000000</v>
      </c>
      <c r="AA62" s="1790" t="s">
        <v>1090</v>
      </c>
      <c r="AB62" s="1378">
        <f t="shared" si="2"/>
        <v>0</v>
      </c>
      <c r="AC62" s="1311">
        <f t="shared" si="3"/>
        <v>0</v>
      </c>
      <c r="AD62" s="1509">
        <v>1</v>
      </c>
      <c r="AE62" s="1311" t="s">
        <v>1090</v>
      </c>
      <c r="AF62" s="1311">
        <f t="shared" si="4"/>
        <v>0.1</v>
      </c>
      <c r="AG62" s="1371">
        <f t="shared" si="5"/>
        <v>0.1</v>
      </c>
      <c r="AH62" s="1371">
        <v>8.333333333333334</v>
      </c>
      <c r="AI62" s="1378">
        <v>0</v>
      </c>
      <c r="AJ62" s="1371" t="e">
        <v>#DIV/0!</v>
      </c>
      <c r="AK62" s="1378" t="s">
        <v>1811</v>
      </c>
      <c r="AL62" s="1378"/>
      <c r="AM62" s="1831">
        <f t="shared" si="6"/>
        <v>2</v>
      </c>
      <c r="AN62" s="1699">
        <f t="shared" si="7"/>
        <v>1</v>
      </c>
      <c r="AO62" s="1697">
        <v>2</v>
      </c>
      <c r="AP62" s="1699">
        <f t="shared" si="8"/>
        <v>1</v>
      </c>
      <c r="AQ62" s="1699">
        <f t="shared" si="9"/>
        <v>0.2</v>
      </c>
      <c r="AR62" s="1699">
        <f t="shared" si="0"/>
        <v>1</v>
      </c>
      <c r="AS62" s="1743">
        <v>0</v>
      </c>
      <c r="AT62" s="1699">
        <v>0</v>
      </c>
      <c r="AU62" s="1692" t="s">
        <v>2340</v>
      </c>
      <c r="AV62" s="1692" t="s">
        <v>2341</v>
      </c>
      <c r="AW62" s="2066">
        <f t="shared" si="10"/>
        <v>2</v>
      </c>
      <c r="AX62" s="1990">
        <f t="shared" si="15"/>
        <v>1</v>
      </c>
      <c r="AY62" s="1989">
        <v>2</v>
      </c>
      <c r="AZ62" s="1990">
        <f t="shared" si="11"/>
        <v>1</v>
      </c>
      <c r="BA62" s="1990">
        <f t="shared" si="12"/>
        <v>0.2</v>
      </c>
      <c r="BB62" s="1990">
        <v>0.5</v>
      </c>
      <c r="BC62" s="2300">
        <v>0</v>
      </c>
      <c r="BD62" s="1989" t="s">
        <v>1090</v>
      </c>
      <c r="BE62" s="2084" t="s">
        <v>2605</v>
      </c>
      <c r="BF62" s="2084" t="s">
        <v>2606</v>
      </c>
      <c r="BG62" s="2497">
        <f t="shared" si="13"/>
        <v>6</v>
      </c>
      <c r="BH62" s="2498">
        <f t="shared" si="14"/>
        <v>1</v>
      </c>
      <c r="BI62" s="2405">
        <v>5</v>
      </c>
      <c r="BJ62" s="2336">
        <f>BI62/BG62</f>
        <v>0.8333333333333334</v>
      </c>
      <c r="BK62" s="2336"/>
      <c r="BL62" s="2336">
        <f>BI62/Y62</f>
        <v>0.5</v>
      </c>
      <c r="BM62" s="2338"/>
      <c r="BN62" s="2337"/>
      <c r="BO62" s="2339" t="s">
        <v>3053</v>
      </c>
      <c r="BP62" s="2339" t="s">
        <v>3054</v>
      </c>
    </row>
    <row r="63" spans="1:68" s="455" customFormat="1" ht="39" thickBot="1">
      <c r="A63" s="2896"/>
      <c r="B63" s="2897"/>
      <c r="C63" s="2893"/>
      <c r="D63" s="1801" t="s">
        <v>1059</v>
      </c>
      <c r="E63" s="1791" t="s">
        <v>1039</v>
      </c>
      <c r="F63" s="1792">
        <v>12</v>
      </c>
      <c r="G63" s="1793" t="s">
        <v>1036</v>
      </c>
      <c r="H63" s="1798" t="s">
        <v>1968</v>
      </c>
      <c r="I63" s="453">
        <v>0.015873015873015872</v>
      </c>
      <c r="J63" s="1793" t="s">
        <v>948</v>
      </c>
      <c r="K63" s="1794">
        <v>42005</v>
      </c>
      <c r="L63" s="1794">
        <v>42369</v>
      </c>
      <c r="M63" s="1797"/>
      <c r="N63" s="1797"/>
      <c r="O63" s="1797">
        <v>1</v>
      </c>
      <c r="P63" s="1797">
        <v>1</v>
      </c>
      <c r="Q63" s="1797">
        <v>1</v>
      </c>
      <c r="R63" s="1797">
        <v>1</v>
      </c>
      <c r="S63" s="1797">
        <v>1</v>
      </c>
      <c r="T63" s="1797">
        <v>1</v>
      </c>
      <c r="U63" s="1797">
        <v>1</v>
      </c>
      <c r="V63" s="1797">
        <v>1</v>
      </c>
      <c r="W63" s="1797">
        <v>1</v>
      </c>
      <c r="X63" s="1797">
        <v>1</v>
      </c>
      <c r="Y63" s="1796">
        <f t="shared" si="1"/>
        <v>10</v>
      </c>
      <c r="Z63" s="454">
        <v>0</v>
      </c>
      <c r="AA63" s="1790" t="s">
        <v>1090</v>
      </c>
      <c r="AB63" s="1378">
        <f t="shared" si="2"/>
        <v>0</v>
      </c>
      <c r="AC63" s="1311">
        <f t="shared" si="3"/>
        <v>0</v>
      </c>
      <c r="AD63" s="1509">
        <v>1</v>
      </c>
      <c r="AE63" s="1311" t="s">
        <v>1090</v>
      </c>
      <c r="AF63" s="1311">
        <f t="shared" si="4"/>
        <v>0.1</v>
      </c>
      <c r="AG63" s="1371">
        <f t="shared" si="5"/>
        <v>0.1</v>
      </c>
      <c r="AH63" s="1371">
        <v>0</v>
      </c>
      <c r="AI63" s="1378">
        <v>0</v>
      </c>
      <c r="AJ63" s="1371" t="e">
        <v>#DIV/0!</v>
      </c>
      <c r="AK63" s="1378" t="s">
        <v>1812</v>
      </c>
      <c r="AL63" s="1378"/>
      <c r="AM63" s="1831">
        <f t="shared" si="6"/>
        <v>2</v>
      </c>
      <c r="AN63" s="1699">
        <f t="shared" si="7"/>
        <v>1</v>
      </c>
      <c r="AO63" s="1697">
        <v>2</v>
      </c>
      <c r="AP63" s="1699">
        <f t="shared" si="8"/>
        <v>1</v>
      </c>
      <c r="AQ63" s="1699">
        <f t="shared" si="9"/>
        <v>0.2</v>
      </c>
      <c r="AR63" s="1699">
        <f t="shared" si="0"/>
        <v>1</v>
      </c>
      <c r="AS63" s="1743">
        <v>0</v>
      </c>
      <c r="AT63" s="1699">
        <v>0</v>
      </c>
      <c r="AU63" s="1692" t="s">
        <v>2342</v>
      </c>
      <c r="AV63" s="1692"/>
      <c r="AW63" s="2066">
        <f t="shared" si="10"/>
        <v>2</v>
      </c>
      <c r="AX63" s="1990">
        <f t="shared" si="15"/>
        <v>1</v>
      </c>
      <c r="AY63" s="1989">
        <v>2</v>
      </c>
      <c r="AZ63" s="1990">
        <f t="shared" si="11"/>
        <v>1</v>
      </c>
      <c r="BA63" s="1990">
        <f t="shared" si="12"/>
        <v>0.2</v>
      </c>
      <c r="BB63" s="1990">
        <v>0.5</v>
      </c>
      <c r="BC63" s="2300">
        <v>0</v>
      </c>
      <c r="BD63" s="1989" t="s">
        <v>1090</v>
      </c>
      <c r="BE63" s="2084" t="s">
        <v>2607</v>
      </c>
      <c r="BF63" s="2084"/>
      <c r="BG63" s="2497">
        <f t="shared" si="13"/>
        <v>6</v>
      </c>
      <c r="BH63" s="2498">
        <f t="shared" si="14"/>
        <v>1</v>
      </c>
      <c r="BI63" s="2405">
        <v>5</v>
      </c>
      <c r="BJ63" s="2336">
        <f>BI63/BG63</f>
        <v>0.8333333333333334</v>
      </c>
      <c r="BK63" s="2336"/>
      <c r="BL63" s="2336">
        <f>BI63/Y63</f>
        <v>0.5</v>
      </c>
      <c r="BM63" s="2338"/>
      <c r="BN63" s="2337"/>
      <c r="BO63" s="2339" t="s">
        <v>2607</v>
      </c>
      <c r="BP63" s="2339"/>
    </row>
    <row r="64" spans="1:68" s="455" customFormat="1" ht="39" thickBot="1">
      <c r="A64" s="2896"/>
      <c r="B64" s="2897"/>
      <c r="C64" s="2893"/>
      <c r="D64" s="1801" t="s">
        <v>1060</v>
      </c>
      <c r="E64" s="1791" t="s">
        <v>72</v>
      </c>
      <c r="F64" s="1792">
        <v>1</v>
      </c>
      <c r="G64" s="1793" t="s">
        <v>1028</v>
      </c>
      <c r="H64" s="1798" t="s">
        <v>1968</v>
      </c>
      <c r="I64" s="453">
        <v>0.015873015873015872</v>
      </c>
      <c r="J64" s="1793" t="s">
        <v>1061</v>
      </c>
      <c r="K64" s="1794">
        <v>42005</v>
      </c>
      <c r="L64" s="1794">
        <v>42369</v>
      </c>
      <c r="M64" s="1797"/>
      <c r="N64" s="1797"/>
      <c r="O64" s="1797"/>
      <c r="P64" s="1797"/>
      <c r="Q64" s="1797"/>
      <c r="R64" s="1797"/>
      <c r="S64" s="1797"/>
      <c r="T64" s="1797"/>
      <c r="U64" s="1797"/>
      <c r="V64" s="1797"/>
      <c r="W64" s="1797"/>
      <c r="X64" s="1797">
        <v>1</v>
      </c>
      <c r="Y64" s="1796">
        <f t="shared" si="1"/>
        <v>1</v>
      </c>
      <c r="Z64" s="454">
        <v>0</v>
      </c>
      <c r="AA64" s="1790" t="s">
        <v>1090</v>
      </c>
      <c r="AB64" s="1378">
        <f t="shared" si="2"/>
        <v>0</v>
      </c>
      <c r="AC64" s="1311">
        <f t="shared" si="3"/>
        <v>0</v>
      </c>
      <c r="AD64" s="1509">
        <v>0</v>
      </c>
      <c r="AE64" s="1311" t="s">
        <v>1090</v>
      </c>
      <c r="AF64" s="1311">
        <f t="shared" si="4"/>
        <v>0</v>
      </c>
      <c r="AG64" s="1371">
        <f t="shared" si="5"/>
        <v>0</v>
      </c>
      <c r="AH64" s="1371">
        <v>100</v>
      </c>
      <c r="AI64" s="1378">
        <v>0</v>
      </c>
      <c r="AJ64" s="1371" t="e">
        <v>#DIV/0!</v>
      </c>
      <c r="AK64" s="1378" t="s">
        <v>1808</v>
      </c>
      <c r="AL64" s="1378"/>
      <c r="AM64" s="1831">
        <f t="shared" si="6"/>
        <v>0</v>
      </c>
      <c r="AN64" s="1699">
        <f t="shared" si="7"/>
        <v>0</v>
      </c>
      <c r="AO64" s="1697">
        <v>0</v>
      </c>
      <c r="AP64" s="1699" t="s">
        <v>1090</v>
      </c>
      <c r="AQ64" s="1699">
        <f t="shared" si="9"/>
        <v>0</v>
      </c>
      <c r="AR64" s="1699">
        <v>0</v>
      </c>
      <c r="AS64" s="1743">
        <v>0</v>
      </c>
      <c r="AT64" s="1699">
        <v>0</v>
      </c>
      <c r="AU64" s="1692"/>
      <c r="AV64" s="1692"/>
      <c r="AW64" s="2066">
        <f t="shared" si="10"/>
        <v>0</v>
      </c>
      <c r="AX64" s="1990">
        <f t="shared" si="15"/>
        <v>0</v>
      </c>
      <c r="AY64" s="1989">
        <v>0</v>
      </c>
      <c r="AZ64" s="1990" t="s">
        <v>1090</v>
      </c>
      <c r="BA64" s="1990">
        <f t="shared" si="12"/>
        <v>0</v>
      </c>
      <c r="BB64" s="1990">
        <v>0</v>
      </c>
      <c r="BC64" s="2300">
        <v>0</v>
      </c>
      <c r="BD64" s="1989" t="s">
        <v>1090</v>
      </c>
      <c r="BE64" s="2084" t="s">
        <v>1808</v>
      </c>
      <c r="BF64" s="2084"/>
      <c r="BG64" s="2497">
        <f t="shared" si="13"/>
        <v>0</v>
      </c>
      <c r="BH64" s="2498">
        <f t="shared" si="14"/>
        <v>0</v>
      </c>
      <c r="BI64" s="2405" t="s">
        <v>1090</v>
      </c>
      <c r="BJ64" s="2336" t="s">
        <v>1090</v>
      </c>
      <c r="BK64" s="2336"/>
      <c r="BL64" s="2336">
        <v>0</v>
      </c>
      <c r="BM64" s="2338"/>
      <c r="BN64" s="2337"/>
      <c r="BO64" s="2339" t="s">
        <v>1808</v>
      </c>
      <c r="BP64" s="2339"/>
    </row>
    <row r="65" spans="1:68" s="456" customFormat="1" ht="36.75" thickBot="1">
      <c r="A65" s="2896"/>
      <c r="B65" s="2897"/>
      <c r="C65" s="2893" t="s">
        <v>1062</v>
      </c>
      <c r="D65" s="1790" t="s">
        <v>1063</v>
      </c>
      <c r="E65" s="1791" t="s">
        <v>1064</v>
      </c>
      <c r="F65" s="1792">
        <v>1</v>
      </c>
      <c r="G65" s="1793" t="s">
        <v>1036</v>
      </c>
      <c r="H65" s="1798" t="s">
        <v>1836</v>
      </c>
      <c r="I65" s="453">
        <v>0.015873015873015872</v>
      </c>
      <c r="J65" s="1793" t="s">
        <v>1037</v>
      </c>
      <c r="K65" s="1794">
        <v>42005</v>
      </c>
      <c r="L65" s="1794">
        <v>42369</v>
      </c>
      <c r="M65" s="1797"/>
      <c r="N65" s="1797">
        <v>1</v>
      </c>
      <c r="O65" s="1797"/>
      <c r="P65" s="1797"/>
      <c r="Q65" s="1797"/>
      <c r="R65" s="1797"/>
      <c r="S65" s="1797"/>
      <c r="T65" s="1797"/>
      <c r="U65" s="1797"/>
      <c r="V65" s="1797"/>
      <c r="W65" s="1797"/>
      <c r="X65" s="1797"/>
      <c r="Y65" s="1796">
        <f t="shared" si="1"/>
        <v>1</v>
      </c>
      <c r="Z65" s="454">
        <v>0</v>
      </c>
      <c r="AA65" s="1790" t="s">
        <v>1090</v>
      </c>
      <c r="AB65" s="1378">
        <f t="shared" si="2"/>
        <v>1</v>
      </c>
      <c r="AC65" s="1311">
        <f t="shared" si="3"/>
        <v>1</v>
      </c>
      <c r="AD65" s="1509">
        <v>0</v>
      </c>
      <c r="AE65" s="1311">
        <f t="shared" si="16"/>
        <v>0</v>
      </c>
      <c r="AF65" s="1311">
        <f t="shared" si="4"/>
        <v>0</v>
      </c>
      <c r="AG65" s="1371">
        <f t="shared" si="5"/>
        <v>0</v>
      </c>
      <c r="AH65" s="1371">
        <v>25</v>
      </c>
      <c r="AI65" s="1378">
        <v>0</v>
      </c>
      <c r="AJ65" s="1371" t="e">
        <v>#DIV/0!</v>
      </c>
      <c r="AK65" s="1378"/>
      <c r="AL65" s="1378"/>
      <c r="AM65" s="1831">
        <f t="shared" si="6"/>
        <v>1</v>
      </c>
      <c r="AN65" s="1699">
        <f t="shared" si="7"/>
        <v>1</v>
      </c>
      <c r="AO65" s="1697">
        <v>1</v>
      </c>
      <c r="AP65" s="1699">
        <f t="shared" si="8"/>
        <v>1</v>
      </c>
      <c r="AQ65" s="1699">
        <f t="shared" si="9"/>
        <v>1</v>
      </c>
      <c r="AR65" s="1699">
        <f t="shared" si="0"/>
        <v>1</v>
      </c>
      <c r="AS65" s="1743">
        <v>0</v>
      </c>
      <c r="AT65" s="1699">
        <v>0</v>
      </c>
      <c r="AU65" s="1692" t="s">
        <v>2343</v>
      </c>
      <c r="AV65" s="1692"/>
      <c r="AW65" s="2066">
        <f t="shared" si="10"/>
        <v>0</v>
      </c>
      <c r="AX65" s="1990">
        <f t="shared" si="15"/>
        <v>0</v>
      </c>
      <c r="AY65" s="1989">
        <v>1</v>
      </c>
      <c r="AZ65" s="1990" t="s">
        <v>1090</v>
      </c>
      <c r="BA65" s="1990">
        <f t="shared" si="12"/>
        <v>1</v>
      </c>
      <c r="BB65" s="1990">
        <v>1</v>
      </c>
      <c r="BC65" s="2300">
        <v>0</v>
      </c>
      <c r="BD65" s="1989" t="s">
        <v>1090</v>
      </c>
      <c r="BE65" s="2084" t="s">
        <v>2608</v>
      </c>
      <c r="BF65" s="2084" t="s">
        <v>2609</v>
      </c>
      <c r="BG65" s="2497">
        <f t="shared" si="13"/>
        <v>1</v>
      </c>
      <c r="BH65" s="2498">
        <f t="shared" si="14"/>
        <v>1</v>
      </c>
      <c r="BI65" s="2405">
        <v>1</v>
      </c>
      <c r="BJ65" s="2336">
        <v>1</v>
      </c>
      <c r="BK65" s="2336"/>
      <c r="BL65" s="2336">
        <v>1</v>
      </c>
      <c r="BM65" s="2338"/>
      <c r="BN65" s="2337"/>
      <c r="BO65" s="2339"/>
      <c r="BP65" s="2339"/>
    </row>
    <row r="66" spans="1:68" s="456" customFormat="1" ht="36.75" thickBot="1">
      <c r="A66" s="2896"/>
      <c r="B66" s="2897"/>
      <c r="C66" s="2893"/>
      <c r="D66" s="1790" t="s">
        <v>1065</v>
      </c>
      <c r="E66" s="1791" t="s">
        <v>1066</v>
      </c>
      <c r="F66" s="1792">
        <v>1</v>
      </c>
      <c r="G66" s="1793" t="s">
        <v>1036</v>
      </c>
      <c r="H66" s="1798" t="s">
        <v>1836</v>
      </c>
      <c r="I66" s="453">
        <v>0.015873015873015872</v>
      </c>
      <c r="J66" s="1793" t="s">
        <v>1067</v>
      </c>
      <c r="K66" s="1794">
        <v>42005</v>
      </c>
      <c r="L66" s="1794">
        <v>42369</v>
      </c>
      <c r="M66" s="1797"/>
      <c r="N66" s="1797">
        <v>1</v>
      </c>
      <c r="O66" s="1797"/>
      <c r="P66" s="1797"/>
      <c r="Q66" s="1797"/>
      <c r="R66" s="1797"/>
      <c r="S66" s="1797"/>
      <c r="T66" s="1797"/>
      <c r="U66" s="1797"/>
      <c r="V66" s="1797"/>
      <c r="W66" s="1797"/>
      <c r="X66" s="1797"/>
      <c r="Y66" s="1796">
        <f t="shared" si="1"/>
        <v>1</v>
      </c>
      <c r="Z66" s="454">
        <v>0</v>
      </c>
      <c r="AA66" s="1790" t="s">
        <v>1090</v>
      </c>
      <c r="AB66" s="1378">
        <f t="shared" si="2"/>
        <v>1</v>
      </c>
      <c r="AC66" s="1311">
        <f t="shared" si="3"/>
        <v>1</v>
      </c>
      <c r="AD66" s="1509">
        <v>0</v>
      </c>
      <c r="AE66" s="1311">
        <f t="shared" si="16"/>
        <v>0</v>
      </c>
      <c r="AF66" s="1311">
        <f t="shared" si="4"/>
        <v>0</v>
      </c>
      <c r="AG66" s="1371">
        <f t="shared" si="5"/>
        <v>0</v>
      </c>
      <c r="AH66" s="1371">
        <v>25</v>
      </c>
      <c r="AI66" s="1378">
        <v>0</v>
      </c>
      <c r="AJ66" s="1371" t="e">
        <v>#DIV/0!</v>
      </c>
      <c r="AK66" s="1378" t="s">
        <v>1813</v>
      </c>
      <c r="AL66" s="1378"/>
      <c r="AM66" s="1831">
        <f t="shared" si="6"/>
        <v>1</v>
      </c>
      <c r="AN66" s="1699">
        <f t="shared" si="7"/>
        <v>1</v>
      </c>
      <c r="AO66" s="1697">
        <v>1</v>
      </c>
      <c r="AP66" s="1699">
        <f t="shared" si="8"/>
        <v>1</v>
      </c>
      <c r="AQ66" s="1699">
        <f t="shared" si="9"/>
        <v>1</v>
      </c>
      <c r="AR66" s="1699">
        <f t="shared" si="0"/>
        <v>1</v>
      </c>
      <c r="AS66" s="1743">
        <v>0</v>
      </c>
      <c r="AT66" s="1699">
        <v>0</v>
      </c>
      <c r="AU66" s="1692"/>
      <c r="AV66" s="1692"/>
      <c r="AW66" s="2066">
        <f t="shared" si="10"/>
        <v>0</v>
      </c>
      <c r="AX66" s="1990">
        <f t="shared" si="15"/>
        <v>0</v>
      </c>
      <c r="AY66" s="1989">
        <v>1</v>
      </c>
      <c r="AZ66" s="1990" t="s">
        <v>1090</v>
      </c>
      <c r="BA66" s="1990">
        <f t="shared" si="12"/>
        <v>1</v>
      </c>
      <c r="BB66" s="1990">
        <v>1</v>
      </c>
      <c r="BC66" s="2300">
        <v>0</v>
      </c>
      <c r="BD66" s="1989" t="s">
        <v>1090</v>
      </c>
      <c r="BE66" s="2084" t="s">
        <v>2610</v>
      </c>
      <c r="BF66" s="2084"/>
      <c r="BG66" s="2497">
        <f t="shared" si="13"/>
        <v>1</v>
      </c>
      <c r="BH66" s="2498">
        <f t="shared" si="14"/>
        <v>1</v>
      </c>
      <c r="BI66" s="2405">
        <v>1</v>
      </c>
      <c r="BJ66" s="2336">
        <v>1</v>
      </c>
      <c r="BK66" s="2336"/>
      <c r="BL66" s="2336">
        <v>1</v>
      </c>
      <c r="BM66" s="2338"/>
      <c r="BN66" s="2337"/>
      <c r="BO66" s="2339"/>
      <c r="BP66" s="2339"/>
    </row>
    <row r="67" spans="1:68" s="456" customFormat="1" ht="45.75" thickBot="1">
      <c r="A67" s="2896"/>
      <c r="B67" s="2897"/>
      <c r="C67" s="2893"/>
      <c r="D67" s="1790" t="s">
        <v>1068</v>
      </c>
      <c r="E67" s="1791" t="s">
        <v>1069</v>
      </c>
      <c r="F67" s="1792">
        <v>12</v>
      </c>
      <c r="G67" s="1793" t="s">
        <v>1036</v>
      </c>
      <c r="H67" s="1798" t="s">
        <v>1836</v>
      </c>
      <c r="I67" s="453">
        <v>0.015873015873015872</v>
      </c>
      <c r="J67" s="1793" t="s">
        <v>154</v>
      </c>
      <c r="K67" s="1794">
        <v>42005</v>
      </c>
      <c r="L67" s="1794">
        <v>42369</v>
      </c>
      <c r="M67" s="1797">
        <v>1</v>
      </c>
      <c r="N67" s="1797">
        <v>1</v>
      </c>
      <c r="O67" s="1797">
        <v>1</v>
      </c>
      <c r="P67" s="1797">
        <v>1</v>
      </c>
      <c r="Q67" s="1797">
        <v>1</v>
      </c>
      <c r="R67" s="1797">
        <v>1</v>
      </c>
      <c r="S67" s="1797">
        <v>1</v>
      </c>
      <c r="T67" s="1797">
        <v>1</v>
      </c>
      <c r="U67" s="1797">
        <v>1</v>
      </c>
      <c r="V67" s="1797">
        <v>1</v>
      </c>
      <c r="W67" s="1797">
        <v>1</v>
      </c>
      <c r="X67" s="1797">
        <v>1</v>
      </c>
      <c r="Y67" s="1796">
        <f t="shared" si="1"/>
        <v>12</v>
      </c>
      <c r="Z67" s="454">
        <v>0</v>
      </c>
      <c r="AA67" s="1790" t="s">
        <v>1090</v>
      </c>
      <c r="AB67" s="1378">
        <f t="shared" si="2"/>
        <v>2</v>
      </c>
      <c r="AC67" s="1311">
        <f t="shared" si="3"/>
        <v>1</v>
      </c>
      <c r="AD67" s="1509">
        <v>0</v>
      </c>
      <c r="AE67" s="1311">
        <f t="shared" si="16"/>
        <v>0</v>
      </c>
      <c r="AF67" s="1311">
        <f t="shared" si="4"/>
        <v>0</v>
      </c>
      <c r="AG67" s="1371">
        <f t="shared" si="5"/>
        <v>0</v>
      </c>
      <c r="AH67" s="1371">
        <v>0</v>
      </c>
      <c r="AI67" s="1378">
        <v>0</v>
      </c>
      <c r="AJ67" s="1371" t="e">
        <v>#DIV/0!</v>
      </c>
      <c r="AK67" s="1378" t="s">
        <v>1814</v>
      </c>
      <c r="AL67" s="1378"/>
      <c r="AM67" s="1831">
        <f t="shared" si="6"/>
        <v>4</v>
      </c>
      <c r="AN67" s="1699">
        <f t="shared" si="7"/>
        <v>1</v>
      </c>
      <c r="AO67" s="1697">
        <v>4</v>
      </c>
      <c r="AP67" s="1699">
        <f t="shared" si="8"/>
        <v>1</v>
      </c>
      <c r="AQ67" s="1699">
        <f t="shared" si="9"/>
        <v>0.3333333333333333</v>
      </c>
      <c r="AR67" s="1699">
        <f t="shared" si="0"/>
        <v>1</v>
      </c>
      <c r="AS67" s="1743">
        <v>0</v>
      </c>
      <c r="AT67" s="1699">
        <v>0</v>
      </c>
      <c r="AU67" s="1692"/>
      <c r="AV67" s="1692"/>
      <c r="AW67" s="2066">
        <f t="shared" si="10"/>
        <v>2</v>
      </c>
      <c r="AX67" s="1990">
        <f t="shared" si="15"/>
        <v>1</v>
      </c>
      <c r="AY67" s="1989">
        <v>2</v>
      </c>
      <c r="AZ67" s="1990">
        <f t="shared" si="11"/>
        <v>1</v>
      </c>
      <c r="BA67" s="1990">
        <f t="shared" si="12"/>
        <v>0.16666666666666666</v>
      </c>
      <c r="BB67" s="1990">
        <v>0.5</v>
      </c>
      <c r="BC67" s="2300">
        <v>0</v>
      </c>
      <c r="BD67" s="1989" t="s">
        <v>1090</v>
      </c>
      <c r="BE67" s="2084" t="s">
        <v>2611</v>
      </c>
      <c r="BF67" s="2084"/>
      <c r="BG67" s="2497">
        <f t="shared" si="13"/>
        <v>8</v>
      </c>
      <c r="BH67" s="2498">
        <f t="shared" si="14"/>
        <v>1</v>
      </c>
      <c r="BI67" s="2405">
        <v>8</v>
      </c>
      <c r="BJ67" s="2336">
        <v>1</v>
      </c>
      <c r="BK67" s="2336"/>
      <c r="BL67" s="2336">
        <f>BI67/Y67</f>
        <v>0.6666666666666666</v>
      </c>
      <c r="BM67" s="2338"/>
      <c r="BN67" s="2337"/>
      <c r="BO67" s="2339"/>
      <c r="BP67" s="2339"/>
    </row>
    <row r="68" spans="1:68" s="456" customFormat="1" ht="39" thickBot="1">
      <c r="A68" s="2896"/>
      <c r="B68" s="2897"/>
      <c r="C68" s="2893"/>
      <c r="D68" s="1790" t="s">
        <v>1070</v>
      </c>
      <c r="E68" s="1791" t="s">
        <v>1069</v>
      </c>
      <c r="F68" s="1792">
        <v>12</v>
      </c>
      <c r="G68" s="1793" t="s">
        <v>1036</v>
      </c>
      <c r="H68" s="1798" t="s">
        <v>1836</v>
      </c>
      <c r="I68" s="453">
        <v>0.015873015873015872</v>
      </c>
      <c r="J68" s="1793" t="s">
        <v>154</v>
      </c>
      <c r="K68" s="1794">
        <v>42005</v>
      </c>
      <c r="L68" s="1794">
        <v>42369</v>
      </c>
      <c r="M68" s="1797">
        <v>1</v>
      </c>
      <c r="N68" s="1797">
        <v>1</v>
      </c>
      <c r="O68" s="1797">
        <v>1</v>
      </c>
      <c r="P68" s="1797">
        <v>1</v>
      </c>
      <c r="Q68" s="1797">
        <v>1</v>
      </c>
      <c r="R68" s="1797">
        <v>1</v>
      </c>
      <c r="S68" s="1797">
        <v>1</v>
      </c>
      <c r="T68" s="1797">
        <v>1</v>
      </c>
      <c r="U68" s="1797">
        <v>1</v>
      </c>
      <c r="V68" s="1797">
        <v>1</v>
      </c>
      <c r="W68" s="1797">
        <v>1</v>
      </c>
      <c r="X68" s="1797">
        <v>1</v>
      </c>
      <c r="Y68" s="1796">
        <f t="shared" si="1"/>
        <v>12</v>
      </c>
      <c r="Z68" s="454">
        <v>0</v>
      </c>
      <c r="AA68" s="1790" t="s">
        <v>1090</v>
      </c>
      <c r="AB68" s="1378">
        <f t="shared" si="2"/>
        <v>2</v>
      </c>
      <c r="AC68" s="1311">
        <f t="shared" si="3"/>
        <v>1</v>
      </c>
      <c r="AD68" s="1509">
        <v>0</v>
      </c>
      <c r="AE68" s="1311">
        <f t="shared" si="16"/>
        <v>0</v>
      </c>
      <c r="AF68" s="1311">
        <f t="shared" si="4"/>
        <v>0</v>
      </c>
      <c r="AG68" s="1371">
        <f t="shared" si="5"/>
        <v>0</v>
      </c>
      <c r="AH68" s="1371">
        <v>0</v>
      </c>
      <c r="AI68" s="1378">
        <v>0</v>
      </c>
      <c r="AJ68" s="1371" t="e">
        <v>#DIV/0!</v>
      </c>
      <c r="AK68" s="1378" t="s">
        <v>1815</v>
      </c>
      <c r="AL68" s="1378"/>
      <c r="AM68" s="1831">
        <f t="shared" si="6"/>
        <v>4</v>
      </c>
      <c r="AN68" s="1699">
        <f t="shared" si="7"/>
        <v>1</v>
      </c>
      <c r="AO68" s="1697">
        <v>4</v>
      </c>
      <c r="AP68" s="1699">
        <f t="shared" si="8"/>
        <v>1</v>
      </c>
      <c r="AQ68" s="1699">
        <f t="shared" si="9"/>
        <v>0.3333333333333333</v>
      </c>
      <c r="AR68" s="1699">
        <f t="shared" si="0"/>
        <v>1</v>
      </c>
      <c r="AS68" s="1743">
        <v>0</v>
      </c>
      <c r="AT68" s="1699">
        <v>0</v>
      </c>
      <c r="AU68" s="1692"/>
      <c r="AV68" s="1692"/>
      <c r="AW68" s="2066">
        <f t="shared" si="10"/>
        <v>2</v>
      </c>
      <c r="AX68" s="1990">
        <f t="shared" si="15"/>
        <v>1</v>
      </c>
      <c r="AY68" s="1989">
        <v>2</v>
      </c>
      <c r="AZ68" s="1990">
        <f t="shared" si="11"/>
        <v>1</v>
      </c>
      <c r="BA68" s="1990">
        <f t="shared" si="12"/>
        <v>0.16666666666666666</v>
      </c>
      <c r="BB68" s="1990">
        <v>0.5</v>
      </c>
      <c r="BC68" s="2300">
        <v>0</v>
      </c>
      <c r="BD68" s="1989" t="s">
        <v>1090</v>
      </c>
      <c r="BE68" s="2084" t="s">
        <v>2612</v>
      </c>
      <c r="BF68" s="2084"/>
      <c r="BG68" s="2497">
        <f t="shared" si="13"/>
        <v>8</v>
      </c>
      <c r="BH68" s="2498">
        <f t="shared" si="14"/>
        <v>1</v>
      </c>
      <c r="BI68" s="2405">
        <v>8</v>
      </c>
      <c r="BJ68" s="2336">
        <v>1</v>
      </c>
      <c r="BK68" s="2336"/>
      <c r="BL68" s="2336">
        <f>BI68/Y68</f>
        <v>0.6666666666666666</v>
      </c>
      <c r="BM68" s="2338"/>
      <c r="BN68" s="2337"/>
      <c r="BO68" s="2339"/>
      <c r="BP68" s="2339"/>
    </row>
    <row r="69" spans="1:68" s="456" customFormat="1" ht="50.25" thickBot="1">
      <c r="A69" s="2896"/>
      <c r="B69" s="2897"/>
      <c r="C69" s="2893"/>
      <c r="D69" s="1790" t="s">
        <v>1071</v>
      </c>
      <c r="E69" s="1791" t="s">
        <v>1069</v>
      </c>
      <c r="F69" s="1792">
        <v>4</v>
      </c>
      <c r="G69" s="1793" t="s">
        <v>1072</v>
      </c>
      <c r="H69" s="1798" t="s">
        <v>1836</v>
      </c>
      <c r="I69" s="453">
        <v>0.015873015873015872</v>
      </c>
      <c r="J69" s="1793" t="s">
        <v>154</v>
      </c>
      <c r="K69" s="1794">
        <v>42005</v>
      </c>
      <c r="L69" s="1794">
        <v>42369</v>
      </c>
      <c r="M69" s="1797"/>
      <c r="N69" s="1797"/>
      <c r="O69" s="1797">
        <v>1</v>
      </c>
      <c r="P69" s="1797"/>
      <c r="Q69" s="1797"/>
      <c r="R69" s="1797">
        <v>1</v>
      </c>
      <c r="S69" s="1797"/>
      <c r="T69" s="1797"/>
      <c r="U69" s="1797">
        <v>1</v>
      </c>
      <c r="V69" s="1797"/>
      <c r="W69" s="1797"/>
      <c r="X69" s="1797">
        <v>1</v>
      </c>
      <c r="Y69" s="1796">
        <f t="shared" si="1"/>
        <v>4</v>
      </c>
      <c r="Z69" s="454">
        <v>0</v>
      </c>
      <c r="AA69" s="1790" t="s">
        <v>1090</v>
      </c>
      <c r="AB69" s="1378">
        <f t="shared" si="2"/>
        <v>0</v>
      </c>
      <c r="AC69" s="1311">
        <f t="shared" si="3"/>
        <v>0</v>
      </c>
      <c r="AD69" s="1509">
        <v>0</v>
      </c>
      <c r="AE69" s="1311" t="s">
        <v>1090</v>
      </c>
      <c r="AF69" s="1311">
        <f t="shared" si="4"/>
        <v>0</v>
      </c>
      <c r="AG69" s="1371">
        <f t="shared" si="5"/>
        <v>0</v>
      </c>
      <c r="AH69" s="1371">
        <v>0</v>
      </c>
      <c r="AI69" s="1378">
        <v>0</v>
      </c>
      <c r="AJ69" s="1371" t="e">
        <v>#DIV/0!</v>
      </c>
      <c r="AK69" s="1378" t="s">
        <v>1816</v>
      </c>
      <c r="AL69" s="1378"/>
      <c r="AM69" s="1831">
        <f t="shared" si="6"/>
        <v>1</v>
      </c>
      <c r="AN69" s="1699">
        <f t="shared" si="7"/>
        <v>1</v>
      </c>
      <c r="AO69" s="1697">
        <v>0</v>
      </c>
      <c r="AP69" s="1699">
        <f t="shared" si="8"/>
        <v>0</v>
      </c>
      <c r="AQ69" s="1699">
        <f t="shared" si="9"/>
        <v>0</v>
      </c>
      <c r="AR69" s="1699">
        <f t="shared" si="0"/>
        <v>0</v>
      </c>
      <c r="AS69" s="1743">
        <v>0</v>
      </c>
      <c r="AT69" s="1699">
        <v>0</v>
      </c>
      <c r="AU69" s="1692" t="s">
        <v>2344</v>
      </c>
      <c r="AV69" s="1692"/>
      <c r="AW69" s="2066">
        <f t="shared" si="10"/>
        <v>1</v>
      </c>
      <c r="AX69" s="1990">
        <f t="shared" si="15"/>
        <v>1</v>
      </c>
      <c r="AY69" s="1989">
        <v>2</v>
      </c>
      <c r="AZ69" s="1990">
        <v>1</v>
      </c>
      <c r="BA69" s="1990">
        <f t="shared" si="12"/>
        <v>0.5</v>
      </c>
      <c r="BB69" s="1990">
        <v>0.5</v>
      </c>
      <c r="BC69" s="2300">
        <v>0</v>
      </c>
      <c r="BD69" s="1989" t="s">
        <v>1090</v>
      </c>
      <c r="BE69" s="2084" t="s">
        <v>2613</v>
      </c>
      <c r="BF69" s="2084"/>
      <c r="BG69" s="2497">
        <f t="shared" si="13"/>
        <v>2</v>
      </c>
      <c r="BH69" s="2498">
        <f t="shared" si="14"/>
        <v>1</v>
      </c>
      <c r="BI69" s="2405">
        <v>2</v>
      </c>
      <c r="BJ69" s="2336">
        <v>1</v>
      </c>
      <c r="BK69" s="2336"/>
      <c r="BL69" s="2336">
        <v>0.5</v>
      </c>
      <c r="BM69" s="2338"/>
      <c r="BN69" s="2337"/>
      <c r="BO69" s="2339"/>
      <c r="BP69" s="2339"/>
    </row>
    <row r="70" spans="1:68" s="456" customFormat="1" ht="26.25" thickBot="1">
      <c r="A70" s="2896"/>
      <c r="B70" s="2897"/>
      <c r="C70" s="2893"/>
      <c r="D70" s="1790" t="s">
        <v>2345</v>
      </c>
      <c r="E70" s="1791" t="s">
        <v>72</v>
      </c>
      <c r="F70" s="1792">
        <v>1</v>
      </c>
      <c r="G70" s="1793" t="s">
        <v>1073</v>
      </c>
      <c r="H70" s="1798" t="s">
        <v>1836</v>
      </c>
      <c r="I70" s="453" t="s">
        <v>2346</v>
      </c>
      <c r="J70" s="1793">
        <v>42005</v>
      </c>
      <c r="K70" s="1794">
        <v>42369</v>
      </c>
      <c r="L70" s="1794"/>
      <c r="M70" s="1797"/>
      <c r="N70" s="1797"/>
      <c r="O70" s="1797">
        <v>1</v>
      </c>
      <c r="P70" s="1797"/>
      <c r="Q70" s="1797"/>
      <c r="R70" s="1797"/>
      <c r="S70" s="1797"/>
      <c r="T70" s="1797"/>
      <c r="U70" s="1797"/>
      <c r="V70" s="1797"/>
      <c r="W70" s="1797"/>
      <c r="X70" s="1809">
        <f>+SUM(L70:W70)</f>
        <v>1</v>
      </c>
      <c r="Y70" s="1796">
        <f t="shared" si="1"/>
        <v>2</v>
      </c>
      <c r="Z70" s="457" t="s">
        <v>1090</v>
      </c>
      <c r="AA70" s="1790"/>
      <c r="AB70" s="1378"/>
      <c r="AC70" s="1311"/>
      <c r="AD70" s="1509"/>
      <c r="AE70" s="1311"/>
      <c r="AF70" s="1311"/>
      <c r="AG70" s="1371"/>
      <c r="AH70" s="1371"/>
      <c r="AI70" s="1378"/>
      <c r="AJ70" s="1371"/>
      <c r="AK70" s="1378" t="s">
        <v>1817</v>
      </c>
      <c r="AL70" s="1378"/>
      <c r="AM70" s="1831">
        <f t="shared" si="6"/>
        <v>1</v>
      </c>
      <c r="AN70" s="1699">
        <f t="shared" si="7"/>
        <v>1</v>
      </c>
      <c r="AO70" s="1697">
        <v>1</v>
      </c>
      <c r="AP70" s="1699">
        <f t="shared" si="8"/>
        <v>1</v>
      </c>
      <c r="AQ70" s="1699" t="s">
        <v>1090</v>
      </c>
      <c r="AR70" s="1699">
        <f t="shared" si="0"/>
        <v>1</v>
      </c>
      <c r="AS70" s="1743">
        <v>0</v>
      </c>
      <c r="AT70" s="1699">
        <v>0</v>
      </c>
      <c r="AU70" s="1692" t="s">
        <v>2347</v>
      </c>
      <c r="AV70" s="1692"/>
      <c r="AW70" s="2066">
        <f t="shared" si="10"/>
        <v>0</v>
      </c>
      <c r="AX70" s="1990">
        <f t="shared" si="15"/>
        <v>0</v>
      </c>
      <c r="AY70" s="1989">
        <v>2</v>
      </c>
      <c r="AZ70" s="1990" t="s">
        <v>1090</v>
      </c>
      <c r="BA70" s="1990">
        <f t="shared" si="12"/>
        <v>1</v>
      </c>
      <c r="BB70" s="1990">
        <v>1</v>
      </c>
      <c r="BC70" s="2300">
        <v>0</v>
      </c>
      <c r="BD70" s="1989" t="s">
        <v>1090</v>
      </c>
      <c r="BE70" s="2084" t="s">
        <v>2614</v>
      </c>
      <c r="BF70" s="2084"/>
      <c r="BG70" s="2497">
        <f t="shared" si="13"/>
        <v>1</v>
      </c>
      <c r="BH70" s="2498">
        <f t="shared" si="14"/>
        <v>1</v>
      </c>
      <c r="BI70" s="2405">
        <v>1</v>
      </c>
      <c r="BJ70" s="2336">
        <v>1</v>
      </c>
      <c r="BK70" s="2336"/>
      <c r="BL70" s="2336">
        <v>0.5</v>
      </c>
      <c r="BM70" s="2338"/>
      <c r="BN70" s="2337"/>
      <c r="BO70" s="2339"/>
      <c r="BP70" s="2339"/>
    </row>
    <row r="71" spans="1:68" s="456" customFormat="1" ht="48.75" thickBot="1">
      <c r="A71" s="2896"/>
      <c r="B71" s="2897"/>
      <c r="C71" s="2893"/>
      <c r="D71" s="1790" t="s">
        <v>1074</v>
      </c>
      <c r="E71" s="1791" t="s">
        <v>72</v>
      </c>
      <c r="F71" s="1792">
        <v>1</v>
      </c>
      <c r="G71" s="1793" t="s">
        <v>1073</v>
      </c>
      <c r="H71" s="1798" t="s">
        <v>1836</v>
      </c>
      <c r="I71" s="453">
        <v>0.015873015873015872</v>
      </c>
      <c r="J71" s="1793" t="s">
        <v>1075</v>
      </c>
      <c r="K71" s="1794">
        <v>42005</v>
      </c>
      <c r="L71" s="1794">
        <v>42369</v>
      </c>
      <c r="M71" s="1797"/>
      <c r="N71" s="1797">
        <v>1</v>
      </c>
      <c r="O71" s="1797"/>
      <c r="P71" s="1797"/>
      <c r="Q71" s="1797"/>
      <c r="R71" s="1797"/>
      <c r="S71" s="1797"/>
      <c r="T71" s="1797"/>
      <c r="U71" s="1797"/>
      <c r="V71" s="1797"/>
      <c r="W71" s="1797"/>
      <c r="X71" s="1809"/>
      <c r="Y71" s="1796">
        <f>+SUM(M71:X71)</f>
        <v>1</v>
      </c>
      <c r="Z71" s="457">
        <v>0</v>
      </c>
      <c r="AA71" s="1790" t="s">
        <v>1090</v>
      </c>
      <c r="AB71" s="1378">
        <f>M71+N71</f>
        <v>1</v>
      </c>
      <c r="AC71" s="1311">
        <f>IF(AB71=0,0%,100%)</f>
        <v>1</v>
      </c>
      <c r="AD71" s="1509">
        <v>0</v>
      </c>
      <c r="AE71" s="1311">
        <f>AD71/AB71</f>
        <v>0</v>
      </c>
      <c r="AF71" s="1311">
        <f>AD71/Y71</f>
        <v>0</v>
      </c>
      <c r="AG71" s="1371">
        <f>AF71</f>
        <v>0</v>
      </c>
      <c r="AH71" s="1371">
        <v>16.666666666666668</v>
      </c>
      <c r="AI71" s="1378">
        <v>0</v>
      </c>
      <c r="AJ71" s="1371" t="e">
        <v>#DIV/0!</v>
      </c>
      <c r="AK71" s="1378" t="s">
        <v>1818</v>
      </c>
      <c r="AL71" s="1378"/>
      <c r="AM71" s="1831">
        <f>SUM(M71:P71)</f>
        <v>1</v>
      </c>
      <c r="AN71" s="1699">
        <f t="shared" si="7"/>
        <v>1</v>
      </c>
      <c r="AO71" s="1697">
        <v>1</v>
      </c>
      <c r="AP71" s="1699">
        <f t="shared" si="8"/>
        <v>1</v>
      </c>
      <c r="AQ71" s="1699">
        <f t="shared" si="9"/>
        <v>1</v>
      </c>
      <c r="AR71" s="1699">
        <f t="shared" si="0"/>
        <v>1</v>
      </c>
      <c r="AS71" s="1743">
        <v>0</v>
      </c>
      <c r="AT71" s="1699">
        <v>0</v>
      </c>
      <c r="AU71" s="1692"/>
      <c r="AV71" s="1692"/>
      <c r="AW71" s="2066">
        <f t="shared" si="10"/>
        <v>0</v>
      </c>
      <c r="AX71" s="1990">
        <f t="shared" si="15"/>
        <v>0</v>
      </c>
      <c r="AY71" s="1989">
        <v>1</v>
      </c>
      <c r="AZ71" s="1990" t="s">
        <v>1090</v>
      </c>
      <c r="BA71" s="1990">
        <f t="shared" si="12"/>
        <v>1</v>
      </c>
      <c r="BB71" s="1990">
        <v>1</v>
      </c>
      <c r="BC71" s="2300">
        <v>0</v>
      </c>
      <c r="BD71" s="1989" t="s">
        <v>1090</v>
      </c>
      <c r="BE71" s="2084" t="s">
        <v>2615</v>
      </c>
      <c r="BF71" s="2084"/>
      <c r="BG71" s="2497">
        <f t="shared" si="13"/>
        <v>1</v>
      </c>
      <c r="BH71" s="2498">
        <f t="shared" si="14"/>
        <v>1</v>
      </c>
      <c r="BI71" s="2405">
        <v>1</v>
      </c>
      <c r="BJ71" s="2336">
        <v>1</v>
      </c>
      <c r="BK71" s="2336"/>
      <c r="BL71" s="2336">
        <v>0.5</v>
      </c>
      <c r="BM71" s="2338"/>
      <c r="BN71" s="2337"/>
      <c r="BO71" s="2339"/>
      <c r="BP71" s="2339" t="s">
        <v>3055</v>
      </c>
    </row>
    <row r="72" spans="1:68" s="456" customFormat="1" ht="26.25" thickBot="1">
      <c r="A72" s="2896"/>
      <c r="B72" s="2897"/>
      <c r="C72" s="2893"/>
      <c r="D72" s="1790" t="s">
        <v>1076</v>
      </c>
      <c r="E72" s="1791" t="s">
        <v>1077</v>
      </c>
      <c r="F72" s="1792">
        <v>1</v>
      </c>
      <c r="G72" s="1793" t="s">
        <v>1078</v>
      </c>
      <c r="H72" s="1798" t="s">
        <v>1836</v>
      </c>
      <c r="I72" s="453">
        <v>0.015873015873015872</v>
      </c>
      <c r="J72" s="1793" t="s">
        <v>1079</v>
      </c>
      <c r="K72" s="1794">
        <v>42005</v>
      </c>
      <c r="L72" s="1794">
        <v>42369</v>
      </c>
      <c r="M72" s="1797"/>
      <c r="N72" s="1797"/>
      <c r="O72" s="1797"/>
      <c r="P72" s="1797"/>
      <c r="Q72" s="1797"/>
      <c r="R72" s="1797"/>
      <c r="S72" s="1797"/>
      <c r="T72" s="1797"/>
      <c r="U72" s="1797"/>
      <c r="V72" s="1797"/>
      <c r="W72" s="1797"/>
      <c r="X72" s="1809"/>
      <c r="Y72" s="1796" t="s">
        <v>100</v>
      </c>
      <c r="Z72" s="457">
        <v>0</v>
      </c>
      <c r="AA72" s="1790" t="s">
        <v>1090</v>
      </c>
      <c r="AB72" s="1378">
        <f t="shared" si="2"/>
        <v>0</v>
      </c>
      <c r="AC72" s="1311">
        <f t="shared" si="3"/>
        <v>0</v>
      </c>
      <c r="AD72" s="1509">
        <v>0</v>
      </c>
      <c r="AE72" s="1311" t="s">
        <v>1090</v>
      </c>
      <c r="AF72" s="1311" t="s">
        <v>1090</v>
      </c>
      <c r="AG72" s="1371" t="str">
        <f>AF72</f>
        <v>-</v>
      </c>
      <c r="AH72" s="1371">
        <v>16.666666666666668</v>
      </c>
      <c r="AI72" s="1378">
        <v>0</v>
      </c>
      <c r="AJ72" s="1371" t="e">
        <v>#DIV/0!</v>
      </c>
      <c r="AK72" s="1378"/>
      <c r="AL72" s="1378"/>
      <c r="AM72" s="1831">
        <f t="shared" si="6"/>
        <v>0</v>
      </c>
      <c r="AN72" s="1699">
        <f t="shared" si="7"/>
        <v>0</v>
      </c>
      <c r="AO72" s="1697">
        <v>0</v>
      </c>
      <c r="AP72" s="1699" t="s">
        <v>1090</v>
      </c>
      <c r="AQ72" s="1699" t="s">
        <v>1090</v>
      </c>
      <c r="AR72" s="1699" t="str">
        <f t="shared" si="0"/>
        <v>-</v>
      </c>
      <c r="AS72" s="1743">
        <v>0</v>
      </c>
      <c r="AT72" s="1699">
        <v>0</v>
      </c>
      <c r="AU72" s="1692"/>
      <c r="AV72" s="1692"/>
      <c r="AW72" s="2066">
        <f t="shared" si="10"/>
        <v>0</v>
      </c>
      <c r="AX72" s="1990">
        <f t="shared" si="15"/>
        <v>0</v>
      </c>
      <c r="AY72" s="1989">
        <v>0</v>
      </c>
      <c r="AZ72" s="1990" t="s">
        <v>1090</v>
      </c>
      <c r="BA72" s="1990" t="s">
        <v>1090</v>
      </c>
      <c r="BB72" s="1990" t="s">
        <v>1090</v>
      </c>
      <c r="BC72" s="2300">
        <v>0</v>
      </c>
      <c r="BD72" s="1989" t="s">
        <v>1090</v>
      </c>
      <c r="BE72" s="2084"/>
      <c r="BF72" s="2084"/>
      <c r="BG72" s="2497">
        <f t="shared" si="13"/>
        <v>0</v>
      </c>
      <c r="BH72" s="2498">
        <f t="shared" si="14"/>
        <v>0</v>
      </c>
      <c r="BI72" s="2405" t="s">
        <v>1090</v>
      </c>
      <c r="BJ72" s="2336" t="s">
        <v>1090</v>
      </c>
      <c r="BK72" s="2336"/>
      <c r="BL72" s="2336" t="s">
        <v>1090</v>
      </c>
      <c r="BM72" s="2338"/>
      <c r="BN72" s="2337"/>
      <c r="BO72" s="2339"/>
      <c r="BP72" s="2339"/>
    </row>
    <row r="73" spans="1:68" s="456" customFormat="1" ht="69" customHeight="1" thickBot="1">
      <c r="A73" s="2896"/>
      <c r="B73" s="2897"/>
      <c r="C73" s="2884" t="s">
        <v>507</v>
      </c>
      <c r="D73" s="103" t="s">
        <v>151</v>
      </c>
      <c r="E73" s="104" t="s">
        <v>152</v>
      </c>
      <c r="F73" s="105">
        <v>12</v>
      </c>
      <c r="G73" s="104" t="s">
        <v>153</v>
      </c>
      <c r="H73" s="1798" t="s">
        <v>1968</v>
      </c>
      <c r="I73" s="453">
        <v>0.015873015873015872</v>
      </c>
      <c r="J73" s="42" t="s">
        <v>154</v>
      </c>
      <c r="K73" s="1810">
        <v>42006</v>
      </c>
      <c r="L73" s="1810">
        <v>42369</v>
      </c>
      <c r="M73" s="1811">
        <v>1</v>
      </c>
      <c r="N73" s="1811">
        <v>1</v>
      </c>
      <c r="O73" s="1811">
        <v>1</v>
      </c>
      <c r="P73" s="1811">
        <v>1</v>
      </c>
      <c r="Q73" s="1811">
        <v>1</v>
      </c>
      <c r="R73" s="1811">
        <v>1</v>
      </c>
      <c r="S73" s="1811">
        <v>1</v>
      </c>
      <c r="T73" s="1811">
        <v>1</v>
      </c>
      <c r="U73" s="1811">
        <v>1</v>
      </c>
      <c r="V73" s="1811">
        <v>1</v>
      </c>
      <c r="W73" s="1811">
        <v>1</v>
      </c>
      <c r="X73" s="1812">
        <v>1</v>
      </c>
      <c r="Y73" s="1813">
        <v>12</v>
      </c>
      <c r="Z73" s="1814">
        <v>0</v>
      </c>
      <c r="AA73" s="1790" t="s">
        <v>1090</v>
      </c>
      <c r="AB73" s="1378">
        <f t="shared" si="2"/>
        <v>2</v>
      </c>
      <c r="AC73" s="1311">
        <f t="shared" si="3"/>
        <v>1</v>
      </c>
      <c r="AD73" s="1509">
        <v>2</v>
      </c>
      <c r="AE73" s="1311">
        <f t="shared" si="16"/>
        <v>1</v>
      </c>
      <c r="AF73" s="1311">
        <f t="shared" si="4"/>
        <v>0.16666666666666666</v>
      </c>
      <c r="AG73" s="1371">
        <f t="shared" si="5"/>
        <v>0.16666666666666666</v>
      </c>
      <c r="AH73" s="1371" t="e">
        <v>#VALUE!</v>
      </c>
      <c r="AI73" s="1378"/>
      <c r="AJ73" s="1371" t="e">
        <v>#DIV/0!</v>
      </c>
      <c r="AK73" s="1378"/>
      <c r="AL73" s="1378"/>
      <c r="AM73" s="1831">
        <f t="shared" si="6"/>
        <v>4</v>
      </c>
      <c r="AN73" s="1699">
        <f t="shared" si="7"/>
        <v>1</v>
      </c>
      <c r="AO73" s="1697">
        <v>1</v>
      </c>
      <c r="AP73" s="1699">
        <f t="shared" si="8"/>
        <v>0.25</v>
      </c>
      <c r="AQ73" s="1699">
        <f t="shared" si="9"/>
        <v>0.08333333333333333</v>
      </c>
      <c r="AR73" s="1699">
        <f t="shared" si="0"/>
        <v>0.25</v>
      </c>
      <c r="AS73" s="1743">
        <v>0</v>
      </c>
      <c r="AT73" s="1699">
        <v>0</v>
      </c>
      <c r="AU73" s="1692"/>
      <c r="AV73" s="1692"/>
      <c r="AW73" s="2066">
        <f t="shared" si="10"/>
        <v>2</v>
      </c>
      <c r="AX73" s="1990">
        <f t="shared" si="15"/>
        <v>1</v>
      </c>
      <c r="AY73" s="1989">
        <v>2</v>
      </c>
      <c r="AZ73" s="1990">
        <f t="shared" si="11"/>
        <v>1</v>
      </c>
      <c r="BA73" s="1990">
        <f t="shared" si="12"/>
        <v>0.16666666666666666</v>
      </c>
      <c r="BB73" s="1990">
        <f>5/12</f>
        <v>0.4166666666666667</v>
      </c>
      <c r="BC73" s="2300">
        <v>0</v>
      </c>
      <c r="BD73" s="1989" t="s">
        <v>1090</v>
      </c>
      <c r="BE73" s="2084"/>
      <c r="BF73" s="2084"/>
      <c r="BG73" s="2497">
        <f t="shared" si="13"/>
        <v>8</v>
      </c>
      <c r="BH73" s="2498">
        <f t="shared" si="14"/>
        <v>1</v>
      </c>
      <c r="BI73" s="2405">
        <v>6</v>
      </c>
      <c r="BJ73" s="2336">
        <f>BI73/BG73</f>
        <v>0.75</v>
      </c>
      <c r="BK73" s="2336"/>
      <c r="BL73" s="2336">
        <v>0.5</v>
      </c>
      <c r="BM73" s="2338"/>
      <c r="BN73" s="2337"/>
      <c r="BO73" s="2339" t="s">
        <v>3056</v>
      </c>
      <c r="BP73" s="2339"/>
    </row>
    <row r="74" spans="1:68" s="456" customFormat="1" ht="64.5" thickBot="1">
      <c r="A74" s="2896"/>
      <c r="B74" s="2897"/>
      <c r="C74" s="2885"/>
      <c r="D74" s="107" t="s">
        <v>155</v>
      </c>
      <c r="E74" s="108" t="s">
        <v>152</v>
      </c>
      <c r="F74" s="102">
        <v>12</v>
      </c>
      <c r="G74" s="1815" t="s">
        <v>153</v>
      </c>
      <c r="H74" s="1798" t="s">
        <v>1968</v>
      </c>
      <c r="I74" s="453">
        <v>0.015873015873015872</v>
      </c>
      <c r="J74" s="55" t="s">
        <v>154</v>
      </c>
      <c r="K74" s="1816">
        <v>42006</v>
      </c>
      <c r="L74" s="1816">
        <v>42369</v>
      </c>
      <c r="M74" s="1817">
        <v>1</v>
      </c>
      <c r="N74" s="1817">
        <v>1</v>
      </c>
      <c r="O74" s="1817">
        <v>1</v>
      </c>
      <c r="P74" s="1817">
        <v>1</v>
      </c>
      <c r="Q74" s="1817">
        <v>1</v>
      </c>
      <c r="R74" s="1817">
        <v>1</v>
      </c>
      <c r="S74" s="1817">
        <v>1</v>
      </c>
      <c r="T74" s="1817">
        <v>1</v>
      </c>
      <c r="U74" s="1817">
        <v>1</v>
      </c>
      <c r="V74" s="1817">
        <v>1</v>
      </c>
      <c r="W74" s="1817">
        <v>1</v>
      </c>
      <c r="X74" s="1818">
        <v>1</v>
      </c>
      <c r="Y74" s="1796">
        <v>12</v>
      </c>
      <c r="Z74" s="1814">
        <v>0</v>
      </c>
      <c r="AA74" s="1790" t="s">
        <v>1090</v>
      </c>
      <c r="AB74" s="1378">
        <f t="shared" si="2"/>
        <v>2</v>
      </c>
      <c r="AC74" s="1311">
        <f t="shared" si="3"/>
        <v>1</v>
      </c>
      <c r="AD74" s="1509">
        <v>2</v>
      </c>
      <c r="AE74" s="1311">
        <f t="shared" si="16"/>
        <v>1</v>
      </c>
      <c r="AF74" s="1311">
        <f t="shared" si="4"/>
        <v>0.16666666666666666</v>
      </c>
      <c r="AG74" s="1371">
        <f t="shared" si="5"/>
        <v>0.16666666666666666</v>
      </c>
      <c r="AH74" s="1371">
        <v>11.11111111111111</v>
      </c>
      <c r="AI74" s="1378">
        <v>0</v>
      </c>
      <c r="AJ74" s="1371" t="e">
        <v>#DIV/0!</v>
      </c>
      <c r="AK74" s="1378" t="s">
        <v>1820</v>
      </c>
      <c r="AL74" s="1378"/>
      <c r="AM74" s="1831">
        <f t="shared" si="6"/>
        <v>4</v>
      </c>
      <c r="AN74" s="1699">
        <f t="shared" si="7"/>
        <v>1</v>
      </c>
      <c r="AO74" s="1697">
        <v>2</v>
      </c>
      <c r="AP74" s="1699">
        <f t="shared" si="8"/>
        <v>0.5</v>
      </c>
      <c r="AQ74" s="1699">
        <f t="shared" si="9"/>
        <v>0.16666666666666666</v>
      </c>
      <c r="AR74" s="1699">
        <f t="shared" si="0"/>
        <v>0.5</v>
      </c>
      <c r="AS74" s="1743">
        <v>0</v>
      </c>
      <c r="AT74" s="1699">
        <v>0</v>
      </c>
      <c r="AU74" s="1692"/>
      <c r="AV74" s="1692"/>
      <c r="AW74" s="2066">
        <f t="shared" si="10"/>
        <v>2</v>
      </c>
      <c r="AX74" s="1990">
        <f t="shared" si="15"/>
        <v>1</v>
      </c>
      <c r="AY74" s="1989">
        <v>2</v>
      </c>
      <c r="AZ74" s="1990">
        <f t="shared" si="11"/>
        <v>1</v>
      </c>
      <c r="BA74" s="1990">
        <f t="shared" si="12"/>
        <v>0.16666666666666666</v>
      </c>
      <c r="BB74" s="1990">
        <v>0.5</v>
      </c>
      <c r="BC74" s="2300">
        <v>0</v>
      </c>
      <c r="BD74" s="1989" t="s">
        <v>1090</v>
      </c>
      <c r="BE74" s="2084"/>
      <c r="BF74" s="2084"/>
      <c r="BG74" s="2497">
        <f t="shared" si="13"/>
        <v>8</v>
      </c>
      <c r="BH74" s="2498">
        <f t="shared" si="14"/>
        <v>1</v>
      </c>
      <c r="BI74" s="2405">
        <v>8</v>
      </c>
      <c r="BJ74" s="2336">
        <v>1</v>
      </c>
      <c r="BK74" s="2336"/>
      <c r="BL74" s="2336">
        <f>BI74/Y74</f>
        <v>0.6666666666666666</v>
      </c>
      <c r="BM74" s="2338"/>
      <c r="BN74" s="2337"/>
      <c r="BO74" s="2339" t="s">
        <v>3057</v>
      </c>
      <c r="BP74" s="2339"/>
    </row>
    <row r="75" spans="1:68" s="456" customFormat="1" ht="149.25" thickBot="1">
      <c r="A75" s="2896"/>
      <c r="B75" s="2897"/>
      <c r="C75" s="2885"/>
      <c r="D75" s="103" t="s">
        <v>156</v>
      </c>
      <c r="E75" s="38" t="s">
        <v>157</v>
      </c>
      <c r="F75" s="110" t="s">
        <v>140</v>
      </c>
      <c r="G75" s="111" t="s">
        <v>141</v>
      </c>
      <c r="H75" s="1798" t="s">
        <v>1968</v>
      </c>
      <c r="I75" s="453">
        <v>0.015873015873015872</v>
      </c>
      <c r="J75" s="112" t="s">
        <v>158</v>
      </c>
      <c r="K75" s="1819">
        <v>42006</v>
      </c>
      <c r="L75" s="1810">
        <v>42369</v>
      </c>
      <c r="M75" s="1811"/>
      <c r="N75" s="1811"/>
      <c r="O75" s="1811"/>
      <c r="P75" s="1811"/>
      <c r="Q75" s="1811"/>
      <c r="R75" s="1811"/>
      <c r="S75" s="1811"/>
      <c r="T75" s="1811"/>
      <c r="U75" s="1811"/>
      <c r="V75" s="1811"/>
      <c r="W75" s="1811"/>
      <c r="X75" s="1812"/>
      <c r="Y75" s="1813" t="s">
        <v>140</v>
      </c>
      <c r="Z75" s="1814">
        <v>0</v>
      </c>
      <c r="AA75" s="1790" t="s">
        <v>1090</v>
      </c>
      <c r="AB75" s="1378">
        <f t="shared" si="2"/>
        <v>0</v>
      </c>
      <c r="AC75" s="1311">
        <f t="shared" si="3"/>
        <v>0</v>
      </c>
      <c r="AD75" s="1509">
        <v>1</v>
      </c>
      <c r="AE75" s="1311" t="s">
        <v>1090</v>
      </c>
      <c r="AF75" s="1311" t="s">
        <v>1090</v>
      </c>
      <c r="AG75" s="1371" t="str">
        <f t="shared" si="5"/>
        <v>-</v>
      </c>
      <c r="AH75" s="1371" t="e">
        <v>#VALUE!</v>
      </c>
      <c r="AI75" s="1378">
        <v>0</v>
      </c>
      <c r="AJ75" s="1371" t="e">
        <v>#DIV/0!</v>
      </c>
      <c r="AK75" s="1378" t="s">
        <v>1819</v>
      </c>
      <c r="AL75" s="1378"/>
      <c r="AM75" s="1831">
        <f t="shared" si="6"/>
        <v>0</v>
      </c>
      <c r="AN75" s="1699">
        <f t="shared" si="7"/>
        <v>0</v>
      </c>
      <c r="AO75" s="1697">
        <v>0</v>
      </c>
      <c r="AP75" s="1699" t="s">
        <v>1090</v>
      </c>
      <c r="AQ75" s="1699" t="s">
        <v>1090</v>
      </c>
      <c r="AR75" s="1699" t="str">
        <f t="shared" si="0"/>
        <v>-</v>
      </c>
      <c r="AS75" s="1743">
        <v>0</v>
      </c>
      <c r="AT75" s="1699">
        <v>0</v>
      </c>
      <c r="AU75" s="1692" t="s">
        <v>2348</v>
      </c>
      <c r="AV75" s="1692" t="s">
        <v>2349</v>
      </c>
      <c r="AW75" s="2066">
        <f t="shared" si="10"/>
        <v>0</v>
      </c>
      <c r="AX75" s="1990">
        <f t="shared" si="15"/>
        <v>0</v>
      </c>
      <c r="AY75" s="1989">
        <v>3</v>
      </c>
      <c r="AZ75" s="1990" t="s">
        <v>1090</v>
      </c>
      <c r="BA75" s="1990" t="s">
        <v>1090</v>
      </c>
      <c r="BB75" s="1990">
        <v>0</v>
      </c>
      <c r="BC75" s="2300">
        <v>0</v>
      </c>
      <c r="BD75" s="1989" t="s">
        <v>1090</v>
      </c>
      <c r="BE75" s="2084" t="s">
        <v>2616</v>
      </c>
      <c r="BF75" s="2084" t="s">
        <v>2617</v>
      </c>
      <c r="BG75" s="2497">
        <f t="shared" si="13"/>
        <v>0</v>
      </c>
      <c r="BH75" s="2498">
        <f t="shared" si="14"/>
        <v>0</v>
      </c>
      <c r="BI75" s="2405" t="s">
        <v>1090</v>
      </c>
      <c r="BJ75" s="2336" t="s">
        <v>1090</v>
      </c>
      <c r="BK75" s="2336"/>
      <c r="BL75" s="2336" t="s">
        <v>1090</v>
      </c>
      <c r="BM75" s="2338"/>
      <c r="BN75" s="2337"/>
      <c r="BO75" s="2339"/>
      <c r="BP75" s="2339" t="s">
        <v>3058</v>
      </c>
    </row>
    <row r="76" spans="1:68" s="456" customFormat="1" ht="60.75" thickBot="1">
      <c r="A76" s="2896"/>
      <c r="B76" s="2897"/>
      <c r="C76" s="2894"/>
      <c r="D76" s="2323" t="s">
        <v>1970</v>
      </c>
      <c r="E76" s="38" t="s">
        <v>1971</v>
      </c>
      <c r="F76" s="110">
        <v>9</v>
      </c>
      <c r="G76" s="37" t="s">
        <v>1972</v>
      </c>
      <c r="H76" s="1798" t="s">
        <v>1968</v>
      </c>
      <c r="I76" s="495"/>
      <c r="J76" s="1366" t="s">
        <v>1973</v>
      </c>
      <c r="K76" s="1819">
        <v>42006</v>
      </c>
      <c r="L76" s="1810">
        <v>42369</v>
      </c>
      <c r="M76" s="1811"/>
      <c r="N76" s="1811"/>
      <c r="O76" s="1811"/>
      <c r="P76" s="1811">
        <v>1</v>
      </c>
      <c r="Q76" s="1811">
        <v>1</v>
      </c>
      <c r="R76" s="1811">
        <v>1</v>
      </c>
      <c r="S76" s="1811">
        <v>1</v>
      </c>
      <c r="T76" s="1811">
        <v>1</v>
      </c>
      <c r="U76" s="1811">
        <v>1</v>
      </c>
      <c r="V76" s="1811">
        <v>1</v>
      </c>
      <c r="W76" s="1811">
        <v>1</v>
      </c>
      <c r="X76" s="1812">
        <v>1</v>
      </c>
      <c r="Y76" s="1813">
        <f>SUM(P76:X76)</f>
        <v>9</v>
      </c>
      <c r="Z76" s="1820">
        <v>0</v>
      </c>
      <c r="AA76" s="1821"/>
      <c r="AB76" s="1378">
        <v>0</v>
      </c>
      <c r="AC76" s="1311">
        <f t="shared" si="3"/>
        <v>0</v>
      </c>
      <c r="AD76" s="1543">
        <v>1</v>
      </c>
      <c r="AE76" s="1311" t="s">
        <v>1090</v>
      </c>
      <c r="AF76" s="1311">
        <v>0</v>
      </c>
      <c r="AG76" s="1371">
        <f t="shared" si="5"/>
        <v>0</v>
      </c>
      <c r="AH76" s="289"/>
      <c r="AI76" s="288"/>
      <c r="AJ76" s="289">
        <v>0</v>
      </c>
      <c r="AK76" s="288" t="s">
        <v>1820</v>
      </c>
      <c r="AL76" s="288"/>
      <c r="AM76" s="1887">
        <f t="shared" si="6"/>
        <v>1</v>
      </c>
      <c r="AN76" s="1881">
        <f t="shared" si="7"/>
        <v>1</v>
      </c>
      <c r="AO76" s="1833">
        <v>0</v>
      </c>
      <c r="AP76" s="1881">
        <f t="shared" si="8"/>
        <v>0</v>
      </c>
      <c r="AQ76" s="1881" t="s">
        <v>1090</v>
      </c>
      <c r="AR76" s="1881">
        <f t="shared" si="0"/>
        <v>0</v>
      </c>
      <c r="AS76" s="1751">
        <v>0</v>
      </c>
      <c r="AT76" s="1881">
        <v>0</v>
      </c>
      <c r="AU76" s="1737"/>
      <c r="AV76" s="1737"/>
      <c r="AW76" s="2210">
        <f t="shared" si="10"/>
        <v>2</v>
      </c>
      <c r="AX76" s="2211">
        <f t="shared" si="15"/>
        <v>1</v>
      </c>
      <c r="AY76" s="2212">
        <v>2</v>
      </c>
      <c r="AZ76" s="2211">
        <f t="shared" si="11"/>
        <v>1</v>
      </c>
      <c r="BA76" s="2211">
        <f t="shared" si="12"/>
        <v>0.2222222222222222</v>
      </c>
      <c r="BB76" s="2211">
        <f>3/9</f>
        <v>0.3333333333333333</v>
      </c>
      <c r="BC76" s="2300">
        <v>0</v>
      </c>
      <c r="BD76" s="1989" t="s">
        <v>1090</v>
      </c>
      <c r="BE76" s="2209" t="s">
        <v>2618</v>
      </c>
      <c r="BF76" s="2209"/>
      <c r="BG76" s="2497">
        <f t="shared" si="13"/>
        <v>5</v>
      </c>
      <c r="BH76" s="2498">
        <f t="shared" si="14"/>
        <v>1</v>
      </c>
      <c r="BI76" s="2499">
        <v>5</v>
      </c>
      <c r="BJ76" s="2340">
        <v>1</v>
      </c>
      <c r="BK76" s="2340"/>
      <c r="BL76" s="2340">
        <f>BI76/Y76</f>
        <v>0.5555555555555556</v>
      </c>
      <c r="BM76" s="2338"/>
      <c r="BN76" s="2337"/>
      <c r="BO76" s="2342" t="s">
        <v>3059</v>
      </c>
      <c r="BP76" s="2342"/>
    </row>
    <row r="77" spans="1:68" s="187" customFormat="1" ht="18.75" thickBot="1">
      <c r="A77" s="2652" t="s">
        <v>1080</v>
      </c>
      <c r="B77" s="2653"/>
      <c r="C77" s="2653"/>
      <c r="D77" s="2876"/>
      <c r="E77" s="499"/>
      <c r="F77" s="425"/>
      <c r="G77" s="2653"/>
      <c r="H77" s="2653"/>
      <c r="I77" s="86">
        <f>+SUM(I16:I76)</f>
        <v>0.936507936507935</v>
      </c>
      <c r="J77" s="86"/>
      <c r="K77" s="1757"/>
      <c r="L77" s="1757"/>
      <c r="M77" s="426"/>
      <c r="N77" s="426"/>
      <c r="O77" s="426"/>
      <c r="P77" s="426"/>
      <c r="Q77" s="426"/>
      <c r="R77" s="426"/>
      <c r="S77" s="426"/>
      <c r="T77" s="426"/>
      <c r="U77" s="426"/>
      <c r="V77" s="426"/>
      <c r="W77" s="426"/>
      <c r="X77" s="426"/>
      <c r="Y77" s="426"/>
      <c r="Z77" s="427">
        <f>SUM(Z16:Z76)</f>
        <v>25000000</v>
      </c>
      <c r="AA77" s="1757"/>
      <c r="AB77" s="1618"/>
      <c r="AC77" s="1619">
        <f>AVERAGEIF(AC16:AC76,"&gt;0")</f>
        <v>1</v>
      </c>
      <c r="AD77" s="1620"/>
      <c r="AE77" s="1619" t="e">
        <f>AVERAGE(AE16:AE76)</f>
        <v>#DIV/0!</v>
      </c>
      <c r="AF77" s="1619"/>
      <c r="AG77" s="1621">
        <f>AVERAGE(AG16:AG76)</f>
        <v>0.23860408597250707</v>
      </c>
      <c r="AH77" s="1622"/>
      <c r="AI77" s="1622"/>
      <c r="AJ77" s="1622"/>
      <c r="AK77" s="1622"/>
      <c r="AL77" s="1888"/>
      <c r="AM77" s="1890"/>
      <c r="AN77" s="1891">
        <f>AVERAGEIF(AN16:AN76,"&gt;0")</f>
        <v>1</v>
      </c>
      <c r="AO77" s="1892"/>
      <c r="AP77" s="1893">
        <f>AVERAGE(AP16:AP76)</f>
        <v>0.42948717948717946</v>
      </c>
      <c r="AQ77" s="1893"/>
      <c r="AR77" s="1893">
        <f>AVERAGE(AR16:AR76)</f>
        <v>0.3850574712643678</v>
      </c>
      <c r="AS77" s="1892"/>
      <c r="AT77" s="1892"/>
      <c r="AU77" s="1889"/>
      <c r="AV77" s="2064"/>
      <c r="AW77" s="1622"/>
      <c r="AX77" s="2214">
        <v>1</v>
      </c>
      <c r="AY77" s="1622"/>
      <c r="AZ77" s="2213">
        <f>AVERAGE(AZ16:AZ76)</f>
        <v>0.8157894736842105</v>
      </c>
      <c r="BA77" s="1622"/>
      <c r="BB77" s="2214">
        <f>AVERAGE(BB16:BB76)</f>
        <v>0.47183334556215917</v>
      </c>
      <c r="BC77" s="1622"/>
      <c r="BD77" s="1622"/>
      <c r="BE77" s="1622"/>
      <c r="BF77" s="1622"/>
      <c r="BG77" s="1622"/>
      <c r="BH77" s="2214">
        <v>1</v>
      </c>
      <c r="BI77" s="1622"/>
      <c r="BJ77" s="2500">
        <f>AVERAGE(BJ16:BJ76)</f>
        <v>0.8707646520146521</v>
      </c>
      <c r="BK77" s="1622"/>
      <c r="BL77" s="2501">
        <f>AVERAGE(BL16:BL76)</f>
        <v>0.5662996964721103</v>
      </c>
      <c r="BM77" s="1622"/>
      <c r="BN77" s="1622"/>
      <c r="BO77" s="1622"/>
      <c r="BP77" s="1622"/>
    </row>
    <row r="78" spans="1:68" s="187" customFormat="1" ht="18.75" thickBot="1">
      <c r="A78" s="2660" t="s">
        <v>290</v>
      </c>
      <c r="B78" s="2661"/>
      <c r="C78" s="2661"/>
      <c r="D78" s="2661"/>
      <c r="E78" s="219"/>
      <c r="F78" s="219"/>
      <c r="G78" s="1762"/>
      <c r="H78" s="1762"/>
      <c r="I78" s="305">
        <f>+I77</f>
        <v>0.936507936507935</v>
      </c>
      <c r="J78" s="1762"/>
      <c r="K78" s="1762"/>
      <c r="L78" s="1762"/>
      <c r="M78" s="500"/>
      <c r="N78" s="500"/>
      <c r="O78" s="500"/>
      <c r="P78" s="500"/>
      <c r="Q78" s="500"/>
      <c r="R78" s="500"/>
      <c r="S78" s="500"/>
      <c r="T78" s="500"/>
      <c r="U78" s="500"/>
      <c r="V78" s="500"/>
      <c r="W78" s="500"/>
      <c r="X78" s="500"/>
      <c r="Y78" s="500"/>
      <c r="Z78" s="501">
        <f>SUM(Z77)</f>
        <v>25000000</v>
      </c>
      <c r="AA78" s="1762"/>
      <c r="AB78" s="1623"/>
      <c r="AC78" s="1624">
        <f>AVERAGE(AC77)</f>
        <v>1</v>
      </c>
      <c r="AD78" s="1625"/>
      <c r="AE78" s="1624" t="e">
        <f>AVERAGE(AE77)</f>
        <v>#DIV/0!</v>
      </c>
      <c r="AF78" s="1624"/>
      <c r="AG78" s="1626">
        <f>AVERAGE(AG77)</f>
        <v>0.23860408597250707</v>
      </c>
      <c r="AH78" s="1627"/>
      <c r="AI78" s="1627"/>
      <c r="AJ78" s="1627"/>
      <c r="AK78" s="1627"/>
      <c r="AL78" s="1894"/>
      <c r="AM78" s="1895"/>
      <c r="AN78" s="1898">
        <f>AVERAGE(AN77)</f>
        <v>1</v>
      </c>
      <c r="AO78" s="1896"/>
      <c r="AP78" s="1898">
        <f>AVERAGE(AP77)</f>
        <v>0.42948717948717946</v>
      </c>
      <c r="AQ78" s="1896"/>
      <c r="AR78" s="1898">
        <f>AVERAGE(AR77)</f>
        <v>0.3850574712643678</v>
      </c>
      <c r="AS78" s="1896"/>
      <c r="AT78" s="1897"/>
      <c r="AU78" s="1880"/>
      <c r="AV78" s="1880"/>
      <c r="AW78" s="2171"/>
      <c r="AX78" s="221">
        <v>1</v>
      </c>
      <c r="AY78" s="2172"/>
      <c r="AZ78" s="2217">
        <f>AVERAGE(AZ77)</f>
        <v>0.8157894736842105</v>
      </c>
      <c r="BA78" s="2172"/>
      <c r="BB78" s="2217">
        <f>AVERAGE(BB77)</f>
        <v>0.47183334556215917</v>
      </c>
      <c r="BC78" s="2172"/>
      <c r="BD78" s="2172"/>
      <c r="BE78" s="2172"/>
      <c r="BF78" s="2173"/>
      <c r="BG78" s="2328"/>
      <c r="BH78" s="221">
        <v>1</v>
      </c>
      <c r="BI78" s="2329"/>
      <c r="BJ78" s="2217">
        <f>AVERAGE(BJ77)</f>
        <v>0.8707646520146521</v>
      </c>
      <c r="BK78" s="2329"/>
      <c r="BL78" s="2502">
        <f>AVERAGE(BL77)</f>
        <v>0.5662996964721103</v>
      </c>
      <c r="BM78" s="2329"/>
      <c r="BN78" s="2329"/>
      <c r="BO78" s="2329"/>
      <c r="BP78" s="2330"/>
    </row>
    <row r="79" spans="1:32" s="451" customFormat="1" ht="13.5" thickBot="1">
      <c r="A79" s="459"/>
      <c r="B79" s="459"/>
      <c r="C79" s="459"/>
      <c r="D79" s="459"/>
      <c r="E79" s="459"/>
      <c r="F79" s="460"/>
      <c r="G79" s="459"/>
      <c r="H79" s="459"/>
      <c r="I79" s="461"/>
      <c r="J79" s="459"/>
      <c r="K79" s="459"/>
      <c r="L79" s="459"/>
      <c r="M79" s="462"/>
      <c r="N79" s="462"/>
      <c r="O79" s="462"/>
      <c r="P79" s="462"/>
      <c r="Q79" s="462"/>
      <c r="R79" s="462"/>
      <c r="S79" s="462"/>
      <c r="T79" s="462"/>
      <c r="U79" s="462"/>
      <c r="V79" s="462"/>
      <c r="W79" s="462"/>
      <c r="X79" s="462"/>
      <c r="Y79" s="462"/>
      <c r="Z79" s="463"/>
      <c r="AA79" s="459"/>
      <c r="AC79" s="1316"/>
      <c r="AD79" s="1587"/>
      <c r="AE79" s="1316"/>
      <c r="AF79" s="1316"/>
    </row>
    <row r="80" spans="1:68" s="187" customFormat="1" ht="15.75" customHeight="1" thickBot="1">
      <c r="A80" s="2877" t="s">
        <v>9</v>
      </c>
      <c r="B80" s="2878"/>
      <c r="C80" s="2879"/>
      <c r="D80" s="2834" t="s">
        <v>1081</v>
      </c>
      <c r="E80" s="2835"/>
      <c r="F80" s="2835"/>
      <c r="G80" s="2835"/>
      <c r="H80" s="2835"/>
      <c r="I80" s="2835"/>
      <c r="J80" s="2835"/>
      <c r="K80" s="2835"/>
      <c r="L80" s="2835"/>
      <c r="M80" s="2835"/>
      <c r="N80" s="2835"/>
      <c r="O80" s="2835"/>
      <c r="P80" s="2835"/>
      <c r="Q80" s="2835"/>
      <c r="R80" s="2835"/>
      <c r="S80" s="2835"/>
      <c r="T80" s="2835"/>
      <c r="U80" s="2835"/>
      <c r="V80" s="2835"/>
      <c r="W80" s="2835"/>
      <c r="X80" s="2835"/>
      <c r="Y80" s="2835"/>
      <c r="Z80" s="2835"/>
      <c r="AA80" s="2836"/>
      <c r="AB80" s="2651" t="s">
        <v>936</v>
      </c>
      <c r="AC80" s="2651"/>
      <c r="AD80" s="2651"/>
      <c r="AE80" s="2651"/>
      <c r="AF80" s="2651"/>
      <c r="AG80" s="2651"/>
      <c r="AH80" s="2651"/>
      <c r="AI80" s="2651"/>
      <c r="AJ80" s="2651"/>
      <c r="AK80" s="2651"/>
      <c r="AL80" s="2651"/>
      <c r="AM80" s="2651" t="s">
        <v>936</v>
      </c>
      <c r="AN80" s="2651"/>
      <c r="AO80" s="2651"/>
      <c r="AP80" s="2651"/>
      <c r="AQ80" s="2651"/>
      <c r="AR80" s="2651"/>
      <c r="AS80" s="2651"/>
      <c r="AT80" s="2651"/>
      <c r="AU80" s="2651"/>
      <c r="AV80" s="2651"/>
      <c r="AW80" s="2648" t="s">
        <v>936</v>
      </c>
      <c r="AX80" s="2649"/>
      <c r="AY80" s="2649"/>
      <c r="AZ80" s="2649"/>
      <c r="BA80" s="2649"/>
      <c r="BB80" s="2649"/>
      <c r="BC80" s="2649"/>
      <c r="BD80" s="2649"/>
      <c r="BE80" s="2649"/>
      <c r="BF80" s="2650"/>
      <c r="BG80" s="2648" t="s">
        <v>936</v>
      </c>
      <c r="BH80" s="2649"/>
      <c r="BI80" s="2649"/>
      <c r="BJ80" s="2649"/>
      <c r="BK80" s="2649"/>
      <c r="BL80" s="2649"/>
      <c r="BM80" s="2649"/>
      <c r="BN80" s="2649"/>
      <c r="BO80" s="2649"/>
      <c r="BP80" s="2650"/>
    </row>
    <row r="81" spans="1:65" ht="15" thickBot="1">
      <c r="A81" s="187"/>
      <c r="B81" s="450"/>
      <c r="C81" s="450"/>
      <c r="D81" s="450"/>
      <c r="E81" s="450"/>
      <c r="F81" s="450"/>
      <c r="G81" s="450"/>
      <c r="H81" s="450"/>
      <c r="I81" s="450"/>
      <c r="J81" s="450"/>
      <c r="K81" s="186"/>
      <c r="L81" s="186"/>
      <c r="M81" s="186"/>
      <c r="N81" s="186"/>
      <c r="O81" s="186"/>
      <c r="P81" s="186"/>
      <c r="Q81" s="186"/>
      <c r="R81" s="186"/>
      <c r="S81" s="186"/>
      <c r="T81" s="186"/>
      <c r="U81" s="186"/>
      <c r="V81" s="186"/>
      <c r="W81" s="186"/>
      <c r="X81" s="186"/>
      <c r="Y81" s="186"/>
      <c r="Z81" s="186"/>
      <c r="AA81" s="450"/>
      <c r="AB81" s="1340"/>
      <c r="AC81" s="1307"/>
      <c r="AD81" s="1506"/>
      <c r="AE81" s="1307"/>
      <c r="AF81" s="1307"/>
      <c r="AG81" s="1340"/>
      <c r="AH81" s="1340"/>
      <c r="AI81" s="1340"/>
      <c r="AJ81" s="1340"/>
      <c r="AK81" s="1340"/>
      <c r="AL81" s="1340"/>
      <c r="AM81" s="13"/>
      <c r="AN81" s="13"/>
      <c r="AO81" s="13"/>
      <c r="AP81" s="13"/>
      <c r="AQ81" s="13"/>
      <c r="AR81" s="13"/>
      <c r="AS81" s="13"/>
      <c r="AT81" s="13"/>
      <c r="AU81" s="13"/>
      <c r="AV81" s="13"/>
      <c r="AW81" s="13"/>
      <c r="AX81" s="13"/>
      <c r="AY81" s="13"/>
      <c r="AZ81" s="13"/>
      <c r="BA81" s="13"/>
      <c r="BB81" s="13"/>
      <c r="BC81" s="13"/>
      <c r="BG81" s="13"/>
      <c r="BH81" s="13"/>
      <c r="BI81" s="13"/>
      <c r="BJ81" s="13"/>
      <c r="BK81" s="13"/>
      <c r="BL81" s="13"/>
      <c r="BM81" s="13"/>
    </row>
    <row r="82" spans="1:68" ht="48.75" thickBot="1">
      <c r="A82" s="1786" t="s">
        <v>11</v>
      </c>
      <c r="B82" s="1786" t="s">
        <v>937</v>
      </c>
      <c r="C82" s="1786" t="s">
        <v>13</v>
      </c>
      <c r="D82" s="1786" t="s">
        <v>14</v>
      </c>
      <c r="E82" s="1786" t="s">
        <v>15</v>
      </c>
      <c r="F82" s="452" t="s">
        <v>16</v>
      </c>
      <c r="G82" s="1786" t="s">
        <v>17</v>
      </c>
      <c r="H82" s="1786" t="s">
        <v>18</v>
      </c>
      <c r="I82" s="1787" t="s">
        <v>19</v>
      </c>
      <c r="J82" s="1786" t="s">
        <v>20</v>
      </c>
      <c r="K82" s="1786" t="s">
        <v>21</v>
      </c>
      <c r="L82" s="1786" t="s">
        <v>22</v>
      </c>
      <c r="M82" s="1786" t="s">
        <v>23</v>
      </c>
      <c r="N82" s="1786" t="s">
        <v>24</v>
      </c>
      <c r="O82" s="1786" t="s">
        <v>25</v>
      </c>
      <c r="P82" s="1786" t="s">
        <v>26</v>
      </c>
      <c r="Q82" s="1786" t="s">
        <v>27</v>
      </c>
      <c r="R82" s="1786" t="s">
        <v>28</v>
      </c>
      <c r="S82" s="1786" t="s">
        <v>29</v>
      </c>
      <c r="T82" s="1786" t="s">
        <v>30</v>
      </c>
      <c r="U82" s="1786" t="s">
        <v>31</v>
      </c>
      <c r="V82" s="1786" t="s">
        <v>32</v>
      </c>
      <c r="W82" s="1786" t="s">
        <v>33</v>
      </c>
      <c r="X82" s="1786" t="s">
        <v>34</v>
      </c>
      <c r="Y82" s="1786" t="s">
        <v>35</v>
      </c>
      <c r="Z82" s="1786" t="s">
        <v>36</v>
      </c>
      <c r="AA82" s="1786" t="s">
        <v>37</v>
      </c>
      <c r="AB82" s="1788" t="s">
        <v>38</v>
      </c>
      <c r="AC82" s="1613" t="s">
        <v>1781</v>
      </c>
      <c r="AD82" s="1615" t="s">
        <v>39</v>
      </c>
      <c r="AE82" s="1616" t="s">
        <v>1821</v>
      </c>
      <c r="AF82" s="1616" t="s">
        <v>1822</v>
      </c>
      <c r="AG82" s="1788" t="s">
        <v>1783</v>
      </c>
      <c r="AH82" s="1788" t="s">
        <v>40</v>
      </c>
      <c r="AI82" s="1788" t="s">
        <v>41</v>
      </c>
      <c r="AJ82" s="1788" t="s">
        <v>42</v>
      </c>
      <c r="AK82" s="1788" t="s">
        <v>43</v>
      </c>
      <c r="AL82" s="1788" t="s">
        <v>44</v>
      </c>
      <c r="AM82" s="1789" t="s">
        <v>45</v>
      </c>
      <c r="AN82" s="1789" t="s">
        <v>1781</v>
      </c>
      <c r="AO82" s="1789" t="s">
        <v>46</v>
      </c>
      <c r="AP82" s="1789" t="s">
        <v>2193</v>
      </c>
      <c r="AQ82" s="1789" t="s">
        <v>1822</v>
      </c>
      <c r="AR82" s="1789" t="s">
        <v>2164</v>
      </c>
      <c r="AS82" s="1789" t="s">
        <v>41</v>
      </c>
      <c r="AT82" s="1789" t="s">
        <v>42</v>
      </c>
      <c r="AU82" s="1789" t="s">
        <v>43</v>
      </c>
      <c r="AV82" s="1789" t="s">
        <v>44</v>
      </c>
      <c r="AW82" s="2065" t="s">
        <v>45</v>
      </c>
      <c r="AX82" s="2065" t="s">
        <v>1781</v>
      </c>
      <c r="AY82" s="2065" t="s">
        <v>46</v>
      </c>
      <c r="AZ82" s="2065" t="s">
        <v>2193</v>
      </c>
      <c r="BA82" s="2065" t="s">
        <v>1822</v>
      </c>
      <c r="BB82" s="2065" t="s">
        <v>2164</v>
      </c>
      <c r="BC82" s="2065" t="s">
        <v>41</v>
      </c>
      <c r="BD82" s="2065" t="s">
        <v>42</v>
      </c>
      <c r="BE82" s="2065" t="s">
        <v>43</v>
      </c>
      <c r="BF82" s="2065" t="s">
        <v>44</v>
      </c>
      <c r="BG82" s="2079" t="s">
        <v>49</v>
      </c>
      <c r="BH82" s="2079" t="s">
        <v>1781</v>
      </c>
      <c r="BI82" s="2079" t="s">
        <v>50</v>
      </c>
      <c r="BJ82" s="2079" t="s">
        <v>2946</v>
      </c>
      <c r="BK82" s="2079" t="s">
        <v>1822</v>
      </c>
      <c r="BL82" s="2079" t="s">
        <v>2947</v>
      </c>
      <c r="BM82" s="2079" t="s">
        <v>41</v>
      </c>
      <c r="BN82" s="2079" t="s">
        <v>42</v>
      </c>
      <c r="BO82" s="2079" t="s">
        <v>43</v>
      </c>
      <c r="BP82" s="2479" t="s">
        <v>44</v>
      </c>
    </row>
    <row r="83" spans="1:68" s="187" customFormat="1" ht="234" customHeight="1" thickBot="1">
      <c r="A83" s="2882"/>
      <c r="B83" s="2882"/>
      <c r="C83" s="2314"/>
      <c r="D83" s="107" t="s">
        <v>1083</v>
      </c>
      <c r="E83" s="1791" t="s">
        <v>1084</v>
      </c>
      <c r="F83" s="1794">
        <v>4</v>
      </c>
      <c r="G83" s="1793" t="s">
        <v>1082</v>
      </c>
      <c r="H83" s="1791" t="s">
        <v>943</v>
      </c>
      <c r="I83" s="453">
        <v>0.33333333333333337</v>
      </c>
      <c r="J83" s="1793" t="s">
        <v>1085</v>
      </c>
      <c r="K83" s="1794">
        <v>42005</v>
      </c>
      <c r="L83" s="1794">
        <v>42369</v>
      </c>
      <c r="M83" s="1797"/>
      <c r="N83" s="1797"/>
      <c r="O83" s="1797"/>
      <c r="P83" s="1797"/>
      <c r="Q83" s="1809"/>
      <c r="R83" s="2316"/>
      <c r="S83" s="2299">
        <v>1</v>
      </c>
      <c r="T83" s="1797"/>
      <c r="U83" s="1797">
        <v>1</v>
      </c>
      <c r="V83" s="1797"/>
      <c r="W83" s="1797"/>
      <c r="X83" s="1797">
        <v>1</v>
      </c>
      <c r="Y83" s="464">
        <f>+SUM(M83:X83)</f>
        <v>3</v>
      </c>
      <c r="Z83" s="454">
        <v>0</v>
      </c>
      <c r="AA83" s="1790" t="s">
        <v>1090</v>
      </c>
      <c r="AB83" s="1378">
        <f>SUM(M83:N83)</f>
        <v>0</v>
      </c>
      <c r="AC83" s="1311">
        <f>IF(AB83=0,0%,100%)</f>
        <v>0</v>
      </c>
      <c r="AD83" s="1509">
        <v>0</v>
      </c>
      <c r="AE83" s="1311" t="s">
        <v>1090</v>
      </c>
      <c r="AF83" s="1311">
        <f>AD83/Y83</f>
        <v>0</v>
      </c>
      <c r="AG83" s="1371">
        <f>AF83</f>
        <v>0</v>
      </c>
      <c r="AH83" s="1371"/>
      <c r="AI83" s="1378"/>
      <c r="AJ83" s="1371"/>
      <c r="AK83" s="1378"/>
      <c r="AL83" s="1378"/>
      <c r="AM83" s="1692">
        <f aca="true" t="shared" si="20" ref="AM83:AM84">SUM(M83:P83)</f>
        <v>0</v>
      </c>
      <c r="AN83" s="1699">
        <f aca="true" t="shared" si="21" ref="AN83:AN84">IF(AM83=0,0%,100%)</f>
        <v>0</v>
      </c>
      <c r="AO83" s="1697">
        <v>0</v>
      </c>
      <c r="AP83" s="1699" t="e">
        <f aca="true" t="shared" si="22" ref="AP83:AP84">AO83/AM83</f>
        <v>#DIV/0!</v>
      </c>
      <c r="AQ83" s="1699">
        <f aca="true" t="shared" si="23" ref="AQ83:AQ84">AO83/Y83</f>
        <v>0</v>
      </c>
      <c r="AR83" s="1699">
        <v>0</v>
      </c>
      <c r="AS83" s="1743">
        <v>0</v>
      </c>
      <c r="AT83" s="1699">
        <v>0</v>
      </c>
      <c r="AU83" s="1692"/>
      <c r="AV83" s="1692"/>
      <c r="AW83" s="1989">
        <f>SUM(Q83:S83)</f>
        <v>1</v>
      </c>
      <c r="AX83" s="1990">
        <f aca="true" t="shared" si="24" ref="AX83:AX84">IF(AW83=0,0%,100%)</f>
        <v>1</v>
      </c>
      <c r="AY83" s="1989">
        <v>1</v>
      </c>
      <c r="AZ83" s="1990" t="s">
        <v>1090</v>
      </c>
      <c r="BA83" s="1990">
        <f aca="true" t="shared" si="25" ref="BA83:BA84">AX83/X83</f>
        <v>1</v>
      </c>
      <c r="BB83" s="1990">
        <v>0</v>
      </c>
      <c r="BC83" s="2300">
        <v>0</v>
      </c>
      <c r="BD83" s="1989" t="s">
        <v>1090</v>
      </c>
      <c r="BE83" s="2084"/>
      <c r="BF83" s="2084" t="s">
        <v>2619</v>
      </c>
      <c r="BG83" s="2339">
        <f>SUM(M83:T83)</f>
        <v>1</v>
      </c>
      <c r="BH83" s="2336">
        <f aca="true" t="shared" si="26" ref="BH83:BH84">IF(BG83=0,0%,100%)</f>
        <v>1</v>
      </c>
      <c r="BI83" s="2339">
        <v>1</v>
      </c>
      <c r="BJ83" s="2336">
        <v>1</v>
      </c>
      <c r="BK83" s="2336"/>
      <c r="BL83" s="2336">
        <f>BI83/Y83</f>
        <v>0.3333333333333333</v>
      </c>
      <c r="BM83" s="2338"/>
      <c r="BN83" s="2337"/>
      <c r="BO83" s="2339"/>
      <c r="BP83" s="2339"/>
    </row>
    <row r="84" spans="1:68" s="187" customFormat="1" ht="158.25" customHeight="1" thickBot="1">
      <c r="A84" s="2883"/>
      <c r="B84" s="2883"/>
      <c r="C84" s="1769" t="s">
        <v>1086</v>
      </c>
      <c r="D84" s="1770" t="s">
        <v>1087</v>
      </c>
      <c r="E84" s="1822" t="s">
        <v>1084</v>
      </c>
      <c r="F84" s="1819">
        <v>4</v>
      </c>
      <c r="G84" s="1823" t="s">
        <v>1082</v>
      </c>
      <c r="H84" s="1822" t="s">
        <v>943</v>
      </c>
      <c r="I84" s="495">
        <v>0.33333333333333337</v>
      </c>
      <c r="J84" s="1823" t="s">
        <v>1085</v>
      </c>
      <c r="K84" s="1819">
        <v>42005</v>
      </c>
      <c r="L84" s="1819">
        <v>42369</v>
      </c>
      <c r="M84" s="1797"/>
      <c r="N84" s="1797"/>
      <c r="O84" s="1797"/>
      <c r="P84" s="1797"/>
      <c r="Q84" s="1809"/>
      <c r="R84" s="2315"/>
      <c r="S84" s="2299">
        <v>1</v>
      </c>
      <c r="T84" s="1797"/>
      <c r="U84" s="1797">
        <v>1</v>
      </c>
      <c r="V84" s="1797"/>
      <c r="W84" s="1797"/>
      <c r="X84" s="1797">
        <v>1</v>
      </c>
      <c r="Y84" s="496">
        <f>+SUM(M84:X84)</f>
        <v>3</v>
      </c>
      <c r="Z84" s="497">
        <v>0</v>
      </c>
      <c r="AA84" s="1821" t="s">
        <v>1090</v>
      </c>
      <c r="AB84" s="288">
        <f>SUM(M84:N84)</f>
        <v>0</v>
      </c>
      <c r="AC84" s="1617">
        <f>IF(AB84=0,0%,100%)</f>
        <v>0</v>
      </c>
      <c r="AD84" s="1543">
        <v>0</v>
      </c>
      <c r="AE84" s="1617" t="s">
        <v>1090</v>
      </c>
      <c r="AF84" s="1617">
        <f>AD84/Y84</f>
        <v>0</v>
      </c>
      <c r="AG84" s="289">
        <f>AF84</f>
        <v>0</v>
      </c>
      <c r="AH84" s="289"/>
      <c r="AI84" s="288"/>
      <c r="AJ84" s="289"/>
      <c r="AK84" s="288"/>
      <c r="AL84" s="288"/>
      <c r="AM84" s="1692">
        <f t="shared" si="20"/>
        <v>0</v>
      </c>
      <c r="AN84" s="1881">
        <f t="shared" si="21"/>
        <v>0</v>
      </c>
      <c r="AO84" s="1833">
        <v>0</v>
      </c>
      <c r="AP84" s="1699" t="e">
        <f t="shared" si="22"/>
        <v>#DIV/0!</v>
      </c>
      <c r="AQ84" s="1881">
        <f t="shared" si="23"/>
        <v>0</v>
      </c>
      <c r="AR84" s="1699">
        <v>0</v>
      </c>
      <c r="AS84" s="1751">
        <v>0</v>
      </c>
      <c r="AT84" s="1881">
        <v>0</v>
      </c>
      <c r="AU84" s="1737"/>
      <c r="AV84" s="1737"/>
      <c r="AW84" s="2212">
        <f>SUM(Q84:S84)</f>
        <v>1</v>
      </c>
      <c r="AX84" s="2211">
        <f t="shared" si="24"/>
        <v>1</v>
      </c>
      <c r="AY84" s="2212">
        <v>1</v>
      </c>
      <c r="AZ84" s="2211" t="s">
        <v>1090</v>
      </c>
      <c r="BA84" s="1990">
        <f t="shared" si="25"/>
        <v>1</v>
      </c>
      <c r="BB84" s="1990">
        <v>0</v>
      </c>
      <c r="BC84" s="2301">
        <v>0</v>
      </c>
      <c r="BD84" s="2212" t="s">
        <v>1090</v>
      </c>
      <c r="BE84" s="2209"/>
      <c r="BF84" s="2209" t="s">
        <v>2620</v>
      </c>
      <c r="BG84" s="2339">
        <f>SUM(M84:T84)</f>
        <v>1</v>
      </c>
      <c r="BH84" s="2336">
        <f t="shared" si="26"/>
        <v>1</v>
      </c>
      <c r="BI84" s="2342">
        <v>1</v>
      </c>
      <c r="BJ84" s="2340">
        <v>1</v>
      </c>
      <c r="BK84" s="2336"/>
      <c r="BL84" s="2336">
        <f>BI84/Y84</f>
        <v>0.3333333333333333</v>
      </c>
      <c r="BM84" s="2343"/>
      <c r="BN84" s="2341"/>
      <c r="BO84" s="2342"/>
      <c r="BP84" s="2342"/>
    </row>
    <row r="85" spans="1:68" s="498" customFormat="1" ht="18.75" thickBot="1">
      <c r="A85" s="2652" t="s">
        <v>1080</v>
      </c>
      <c r="B85" s="2653"/>
      <c r="C85" s="2653"/>
      <c r="D85" s="2653"/>
      <c r="E85" s="86"/>
      <c r="F85" s="86"/>
      <c r="G85" s="86"/>
      <c r="H85" s="86"/>
      <c r="I85" s="86">
        <f>+SUM(I83:I84)</f>
        <v>0.6666666666666667</v>
      </c>
      <c r="J85" s="86"/>
      <c r="K85" s="1757"/>
      <c r="L85" s="1757"/>
      <c r="M85" s="426"/>
      <c r="N85" s="426"/>
      <c r="O85" s="426"/>
      <c r="P85" s="426"/>
      <c r="Q85" s="426"/>
      <c r="R85" s="426"/>
      <c r="S85" s="426"/>
      <c r="T85" s="426"/>
      <c r="U85" s="426"/>
      <c r="V85" s="426"/>
      <c r="W85" s="426"/>
      <c r="X85" s="426"/>
      <c r="Y85" s="426"/>
      <c r="Z85" s="427">
        <f>SUM(Z83:Z84)</f>
        <v>0</v>
      </c>
      <c r="AA85" s="1757"/>
      <c r="AB85" s="1618"/>
      <c r="AC85" s="1619" t="s">
        <v>1090</v>
      </c>
      <c r="AD85" s="1620"/>
      <c r="AE85" s="1619" t="s">
        <v>1090</v>
      </c>
      <c r="AF85" s="1619"/>
      <c r="AG85" s="1621">
        <f>AVERAGE(AG83:AG84)</f>
        <v>0</v>
      </c>
      <c r="AH85" s="1622"/>
      <c r="AI85" s="1622"/>
      <c r="AJ85" s="1622"/>
      <c r="AK85" s="1622"/>
      <c r="AL85" s="1888"/>
      <c r="AM85" s="1890"/>
      <c r="AN85" s="1891">
        <f>AVERAGEIF(AN25:AN84,"&gt;0")</f>
        <v>1</v>
      </c>
      <c r="AO85" s="1892"/>
      <c r="AP85" s="1893" t="e">
        <f>AVERAGE(AP83:AP84)</f>
        <v>#DIV/0!</v>
      </c>
      <c r="AQ85" s="1892" t="s">
        <v>1090</v>
      </c>
      <c r="AR85" s="1893">
        <f>AVERAGE(AR83:AR84)</f>
        <v>0</v>
      </c>
      <c r="AS85" s="1892"/>
      <c r="AT85" s="1892"/>
      <c r="AU85" s="1889"/>
      <c r="AV85" s="2064"/>
      <c r="AW85" s="1622"/>
      <c r="AX85" s="2214">
        <v>1</v>
      </c>
      <c r="AY85" s="1622"/>
      <c r="AZ85" s="2213" t="s">
        <v>1090</v>
      </c>
      <c r="BA85" s="1622"/>
      <c r="BB85" s="2213">
        <f>AVERAGE(BB83:BB84)</f>
        <v>0</v>
      </c>
      <c r="BC85" s="1622"/>
      <c r="BD85" s="1622"/>
      <c r="BE85" s="1622"/>
      <c r="BF85" s="1622"/>
      <c r="BG85" s="1622"/>
      <c r="BH85" s="2214">
        <v>1</v>
      </c>
      <c r="BI85" s="1622"/>
      <c r="BJ85" s="2213">
        <f>AVERAGE(BJ83:BJ84)</f>
        <v>1</v>
      </c>
      <c r="BK85" s="1622"/>
      <c r="BL85" s="2213">
        <f>AVERAGE(BL83:BL84)</f>
        <v>0.3333333333333333</v>
      </c>
      <c r="BM85" s="1622"/>
      <c r="BN85" s="1622"/>
      <c r="BO85" s="1622"/>
      <c r="BP85" s="1622"/>
    </row>
    <row r="86" spans="1:68" s="196" customFormat="1" ht="18.75" thickBot="1">
      <c r="A86" s="2821" t="s">
        <v>290</v>
      </c>
      <c r="B86" s="2822"/>
      <c r="C86" s="2822"/>
      <c r="D86" s="2822"/>
      <c r="E86" s="2822"/>
      <c r="F86" s="2822"/>
      <c r="G86" s="1772"/>
      <c r="H86" s="1772"/>
      <c r="I86" s="221">
        <f>+I85</f>
        <v>0.6666666666666667</v>
      </c>
      <c r="J86" s="1772"/>
      <c r="K86" s="1772"/>
      <c r="L86" s="1772"/>
      <c r="M86" s="502"/>
      <c r="N86" s="502"/>
      <c r="O86" s="502"/>
      <c r="P86" s="502"/>
      <c r="Q86" s="502"/>
      <c r="R86" s="502"/>
      <c r="S86" s="502"/>
      <c r="T86" s="502"/>
      <c r="U86" s="502"/>
      <c r="V86" s="502"/>
      <c r="W86" s="502"/>
      <c r="X86" s="502"/>
      <c r="Y86" s="502"/>
      <c r="Z86" s="503">
        <f>SUM(Z85)</f>
        <v>0</v>
      </c>
      <c r="AA86" s="1772"/>
      <c r="AB86" s="1623"/>
      <c r="AC86" s="1624" t="s">
        <v>1090</v>
      </c>
      <c r="AD86" s="1625"/>
      <c r="AE86" s="1624" t="s">
        <v>1090</v>
      </c>
      <c r="AF86" s="1624"/>
      <c r="AG86" s="1626">
        <f>AVERAGE(AG85)</f>
        <v>0</v>
      </c>
      <c r="AH86" s="1627"/>
      <c r="AI86" s="1627"/>
      <c r="AJ86" s="1627"/>
      <c r="AK86" s="1627"/>
      <c r="AL86" s="1894"/>
      <c r="AM86" s="1900"/>
      <c r="AN86" s="1901">
        <f>AVERAGE(AN83:AN84)</f>
        <v>0</v>
      </c>
      <c r="AO86" s="1902"/>
      <c r="AP86" s="1901" t="e">
        <f>AVERAGE(AP85)</f>
        <v>#DIV/0!</v>
      </c>
      <c r="AQ86" s="1902"/>
      <c r="AR86" s="1901">
        <f>AVERAGE(AR85)</f>
        <v>0</v>
      </c>
      <c r="AS86" s="1902"/>
      <c r="AT86" s="1903"/>
      <c r="AU86" s="1772"/>
      <c r="AV86" s="1772"/>
      <c r="AW86" s="1627"/>
      <c r="AX86" s="2215">
        <v>1</v>
      </c>
      <c r="AY86" s="1627"/>
      <c r="AZ86" s="2216" t="s">
        <v>1090</v>
      </c>
      <c r="BA86" s="1627"/>
      <c r="BB86" s="2216">
        <f>AVERAGE(BB85)</f>
        <v>0</v>
      </c>
      <c r="BC86" s="1627"/>
      <c r="BD86" s="1627"/>
      <c r="BE86" s="1627"/>
      <c r="BF86" s="1627"/>
      <c r="BG86" s="1627"/>
      <c r="BH86" s="2215">
        <v>1</v>
      </c>
      <c r="BI86" s="1627"/>
      <c r="BJ86" s="2216">
        <f>AVERAGE(BJ85)</f>
        <v>1</v>
      </c>
      <c r="BK86" s="1627"/>
      <c r="BL86" s="2216">
        <f>AVERAGE(BL85)</f>
        <v>0.3333333333333333</v>
      </c>
      <c r="BM86" s="1627"/>
      <c r="BN86" s="1627"/>
      <c r="BO86" s="1627"/>
      <c r="BP86" s="1627"/>
    </row>
    <row r="87" spans="1:68" s="196" customFormat="1" ht="18.75" thickBot="1">
      <c r="A87" s="2880" t="s">
        <v>1088</v>
      </c>
      <c r="B87" s="2881"/>
      <c r="C87" s="2881"/>
      <c r="D87" s="2881"/>
      <c r="E87" s="2881"/>
      <c r="F87" s="2881"/>
      <c r="G87" s="2881"/>
      <c r="H87" s="1824"/>
      <c r="I87" s="1825">
        <f>+(I86+I78)/2</f>
        <v>0.8015873015873008</v>
      </c>
      <c r="J87" s="1824"/>
      <c r="K87" s="1824"/>
      <c r="L87" s="1824"/>
      <c r="M87" s="1824"/>
      <c r="N87" s="1824"/>
      <c r="O87" s="1824"/>
      <c r="P87" s="1824"/>
      <c r="Q87" s="1824"/>
      <c r="R87" s="1824"/>
      <c r="S87" s="1824"/>
      <c r="T87" s="1824"/>
      <c r="U87" s="1824"/>
      <c r="V87" s="1824"/>
      <c r="W87" s="1824"/>
      <c r="X87" s="1826"/>
      <c r="Y87" s="1827"/>
      <c r="Z87" s="1827">
        <f>SUM(Z86,Z78,)</f>
        <v>25000000</v>
      </c>
      <c r="AA87" s="1824"/>
      <c r="AB87" s="1828"/>
      <c r="AC87" s="1628">
        <f>AVERAGE(AC86,AC78)</f>
        <v>1</v>
      </c>
      <c r="AD87" s="1629"/>
      <c r="AE87" s="1628" t="e">
        <f>AVERAGE(AE86,AE78)</f>
        <v>#DIV/0!</v>
      </c>
      <c r="AF87" s="1628"/>
      <c r="AG87" s="1829">
        <f>AVERAGE(AG86,AG78)</f>
        <v>0.11930204298625353</v>
      </c>
      <c r="AH87" s="1830"/>
      <c r="AI87" s="1830"/>
      <c r="AJ87" s="1830"/>
      <c r="AK87" s="1830"/>
      <c r="AL87" s="1899"/>
      <c r="AM87" s="1904"/>
      <c r="AN87" s="1905">
        <f>AVERAGE(AN86,AN78)</f>
        <v>0.5</v>
      </c>
      <c r="AO87" s="1906"/>
      <c r="AP87" s="1905" t="e">
        <f>AVERAGE(AP86,AP78)</f>
        <v>#DIV/0!</v>
      </c>
      <c r="AQ87" s="1906"/>
      <c r="AR87" s="1905">
        <f>AVERAGE(AR86,AR78)</f>
        <v>0.1925287356321839</v>
      </c>
      <c r="AS87" s="1906"/>
      <c r="AT87" s="1907"/>
      <c r="AU87" s="1824"/>
      <c r="AV87" s="1824"/>
      <c r="AW87" s="1830"/>
      <c r="AX87" s="2242">
        <v>1</v>
      </c>
      <c r="AY87" s="2243"/>
      <c r="AZ87" s="2244">
        <f>AVERAGE(AZ86,AZ78)</f>
        <v>0.8157894736842105</v>
      </c>
      <c r="BA87" s="2243"/>
      <c r="BB87" s="2244">
        <f>AVERAGE(BB86,BB78)</f>
        <v>0.23591667278107958</v>
      </c>
      <c r="BC87" s="2243"/>
      <c r="BD87" s="1830"/>
      <c r="BE87" s="1830"/>
      <c r="BF87" s="1830"/>
      <c r="BG87" s="1830"/>
      <c r="BH87" s="1628">
        <v>1</v>
      </c>
      <c r="BI87" s="1828"/>
      <c r="BJ87" s="1829">
        <f>AVERAGE(BJ86,BJ78)</f>
        <v>0.9353823260073261</v>
      </c>
      <c r="BK87" s="2243"/>
      <c r="BL87" s="2244">
        <f>AVERAGE(BL86,BL78)</f>
        <v>0.4498165149027218</v>
      </c>
      <c r="BM87" s="2243"/>
      <c r="BN87" s="1830"/>
      <c r="BO87" s="1830"/>
      <c r="BP87" s="1830"/>
    </row>
  </sheetData>
  <mergeCells count="52">
    <mergeCell ref="BG5:BP9"/>
    <mergeCell ref="BG11:BP11"/>
    <mergeCell ref="BG13:BP13"/>
    <mergeCell ref="BG80:BP80"/>
    <mergeCell ref="C37:C43"/>
    <mergeCell ref="C44:C48"/>
    <mergeCell ref="C49:C59"/>
    <mergeCell ref="A5:AA5"/>
    <mergeCell ref="AB5:AL6"/>
    <mergeCell ref="A7:AA7"/>
    <mergeCell ref="AB7:AL9"/>
    <mergeCell ref="AB13:AL13"/>
    <mergeCell ref="AB11:AL11"/>
    <mergeCell ref="A9:AA9"/>
    <mergeCell ref="A16:A76"/>
    <mergeCell ref="B16:B76"/>
    <mergeCell ref="C60:C64"/>
    <mergeCell ref="C65:C72"/>
    <mergeCell ref="C73:C76"/>
    <mergeCell ref="A1:C4"/>
    <mergeCell ref="D1:BC2"/>
    <mergeCell ref="D3:BC4"/>
    <mergeCell ref="AM5:AV6"/>
    <mergeCell ref="AW5:BF9"/>
    <mergeCell ref="AM7:AV9"/>
    <mergeCell ref="AM13:AV13"/>
    <mergeCell ref="AM11:AV11"/>
    <mergeCell ref="AW11:BF11"/>
    <mergeCell ref="AW13:BF13"/>
    <mergeCell ref="C16:C19"/>
    <mergeCell ref="C20:C25"/>
    <mergeCell ref="C26:C29"/>
    <mergeCell ref="C30:C36"/>
    <mergeCell ref="A8:AA8"/>
    <mergeCell ref="A6:AA6"/>
    <mergeCell ref="A11:C11"/>
    <mergeCell ref="D11:AA11"/>
    <mergeCell ref="A13:C13"/>
    <mergeCell ref="D13:AA13"/>
    <mergeCell ref="A86:F86"/>
    <mergeCell ref="A87:G87"/>
    <mergeCell ref="A83:A84"/>
    <mergeCell ref="B83:B84"/>
    <mergeCell ref="A85:D85"/>
    <mergeCell ref="AB80:AL80"/>
    <mergeCell ref="AM80:AV80"/>
    <mergeCell ref="AW80:BF80"/>
    <mergeCell ref="A77:D77"/>
    <mergeCell ref="G77:H77"/>
    <mergeCell ref="A78:D78"/>
    <mergeCell ref="A80:C80"/>
    <mergeCell ref="D80:AA80"/>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4"/>
  <sheetViews>
    <sheetView zoomScale="60" zoomScaleNormal="60" workbookViewId="0" topLeftCell="A1">
      <pane xSplit="4" ySplit="15" topLeftCell="K25" activePane="bottomRight" state="frozen"/>
      <selection pane="topRight" activeCell="E1" sqref="E1"/>
      <selection pane="bottomLeft" activeCell="A16" sqref="A16"/>
      <selection pane="bottomRight" activeCell="BO29" sqref="BO29"/>
    </sheetView>
  </sheetViews>
  <sheetFormatPr defaultColWidth="11.421875" defaultRowHeight="15"/>
  <cols>
    <col min="1" max="1" width="6.421875" style="1766" customWidth="1"/>
    <col min="2" max="2" width="30.140625" style="1" customWidth="1"/>
    <col min="3" max="3" width="24.57421875" style="1766" customWidth="1"/>
    <col min="4" max="4" width="35.421875" style="174" customWidth="1"/>
    <col min="5" max="5" width="14.421875" style="1" customWidth="1"/>
    <col min="6" max="6" width="13.7109375" style="1" customWidth="1"/>
    <col min="7" max="7" width="27.7109375" style="175" customWidth="1"/>
    <col min="8" max="8" width="18.00390625" style="1" customWidth="1"/>
    <col min="9" max="9" width="11.8515625" style="1" bestFit="1" customWidth="1"/>
    <col min="10" max="10" width="39.140625" style="1" customWidth="1"/>
    <col min="11" max="11" width="10.7109375" style="1" customWidth="1"/>
    <col min="12" max="12" width="11.28125" style="1" customWidth="1"/>
    <col min="13" max="23" width="4.57421875" style="1" customWidth="1"/>
    <col min="24" max="24" width="11.57421875" style="1" bestFit="1" customWidth="1"/>
    <col min="25" max="25" width="14.57421875" style="176" customWidth="1"/>
    <col min="26" max="26" width="24.140625" style="177" bestFit="1" customWidth="1"/>
    <col min="27" max="27" width="21.7109375" style="1" customWidth="1"/>
    <col min="28" max="28" width="11.421875" style="1" hidden="1" customWidth="1"/>
    <col min="29" max="29" width="15.421875" style="1362" hidden="1" customWidth="1"/>
    <col min="30" max="30" width="11.421875" style="1597" hidden="1" customWidth="1"/>
    <col min="31" max="32" width="11.421875" style="1362" hidden="1" customWidth="1"/>
    <col min="33" max="33" width="16.7109375" style="1" hidden="1" customWidth="1"/>
    <col min="34" max="36" width="11.421875" style="1" hidden="1" customWidth="1"/>
    <col min="37" max="37" width="42.00390625" style="1" hidden="1" customWidth="1"/>
    <col min="38" max="38" width="22.28125" style="1" hidden="1" customWidth="1"/>
    <col min="39" max="43" width="11.421875" style="1" hidden="1" customWidth="1"/>
    <col min="44" max="44" width="15.421875" style="1" hidden="1" customWidth="1"/>
    <col min="45" max="45" width="13.7109375" style="1" hidden="1" customWidth="1"/>
    <col min="46" max="46" width="12.7109375" style="1" hidden="1" customWidth="1"/>
    <col min="47" max="47" width="25.8515625" style="1" hidden="1" customWidth="1"/>
    <col min="48" max="48" width="26.8515625" style="1" hidden="1" customWidth="1"/>
    <col min="49" max="53" width="11.421875" style="1" hidden="1" customWidth="1"/>
    <col min="54" max="54" width="18.8515625" style="1" hidden="1" customWidth="1"/>
    <col min="55" max="55" width="14.421875" style="1" hidden="1" customWidth="1"/>
    <col min="56" max="56" width="15.7109375" style="1" hidden="1" customWidth="1"/>
    <col min="57" max="57" width="35.421875" style="1" hidden="1" customWidth="1"/>
    <col min="58" max="58" width="29.7109375" style="1" hidden="1" customWidth="1"/>
    <col min="59" max="63" width="11.421875" style="1" customWidth="1"/>
    <col min="64" max="64" width="13.421875" style="1" customWidth="1"/>
    <col min="65" max="65" width="11.421875" style="1" customWidth="1"/>
    <col min="66" max="66" width="13.7109375" style="1766" customWidth="1"/>
    <col min="67" max="67" width="49.421875" style="1766" customWidth="1"/>
    <col min="68" max="68" width="26.7109375" style="1766" customWidth="1"/>
    <col min="69" max="16384" width="11.421875" style="1766" customWidth="1"/>
  </cols>
  <sheetData>
    <row r="1" spans="1:55"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row>
    <row r="2" spans="1:55"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row>
    <row r="3" spans="1:55"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row>
    <row r="4" spans="1:55"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708"/>
      <c r="AX4" s="2708"/>
      <c r="AY4" s="2708"/>
      <c r="AZ4" s="2708"/>
      <c r="BA4" s="2708"/>
      <c r="BB4" s="2708"/>
      <c r="BC4" s="2708"/>
    </row>
    <row r="5" spans="1:68"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840" t="s">
        <v>2486</v>
      </c>
      <c r="AX5" s="2841"/>
      <c r="AY5" s="2841"/>
      <c r="AZ5" s="2841"/>
      <c r="BA5" s="2841"/>
      <c r="BB5" s="2841"/>
      <c r="BC5" s="2841"/>
      <c r="BD5" s="2841"/>
      <c r="BE5" s="2841"/>
      <c r="BF5" s="2842"/>
      <c r="BG5" s="2861" t="s">
        <v>4</v>
      </c>
      <c r="BH5" s="2862"/>
      <c r="BI5" s="2862"/>
      <c r="BJ5" s="2862"/>
      <c r="BK5" s="2862"/>
      <c r="BL5" s="2862"/>
      <c r="BM5" s="2862"/>
      <c r="BN5" s="2862"/>
      <c r="BO5" s="2862"/>
      <c r="BP5" s="2863"/>
    </row>
    <row r="6" spans="1:68"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843"/>
      <c r="AX6" s="2844"/>
      <c r="AY6" s="2844"/>
      <c r="AZ6" s="2844"/>
      <c r="BA6" s="2844"/>
      <c r="BB6" s="2844"/>
      <c r="BC6" s="2844"/>
      <c r="BD6" s="2844"/>
      <c r="BE6" s="2844"/>
      <c r="BF6" s="2845"/>
      <c r="BG6" s="2864"/>
      <c r="BH6" s="2865"/>
      <c r="BI6" s="2865"/>
      <c r="BJ6" s="2865"/>
      <c r="BK6" s="2865"/>
      <c r="BL6" s="2865"/>
      <c r="BM6" s="2865"/>
      <c r="BN6" s="2865"/>
      <c r="BO6" s="2865"/>
      <c r="BP6" s="2866"/>
    </row>
    <row r="7" spans="1:68"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2452</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843"/>
      <c r="AX7" s="2844"/>
      <c r="AY7" s="2844"/>
      <c r="AZ7" s="2844"/>
      <c r="BA7" s="2844"/>
      <c r="BB7" s="2844"/>
      <c r="BC7" s="2844"/>
      <c r="BD7" s="2844"/>
      <c r="BE7" s="2844"/>
      <c r="BF7" s="2845"/>
      <c r="BG7" s="2867" t="s">
        <v>2986</v>
      </c>
      <c r="BH7" s="2868"/>
      <c r="BI7" s="2868"/>
      <c r="BJ7" s="2868"/>
      <c r="BK7" s="2868"/>
      <c r="BL7" s="2868"/>
      <c r="BM7" s="2868"/>
      <c r="BN7" s="2868"/>
      <c r="BO7" s="2868"/>
      <c r="BP7" s="2869"/>
    </row>
    <row r="8" spans="1:68"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843"/>
      <c r="AX8" s="2844"/>
      <c r="AY8" s="2844"/>
      <c r="AZ8" s="2844"/>
      <c r="BA8" s="2844"/>
      <c r="BB8" s="2844"/>
      <c r="BC8" s="2844"/>
      <c r="BD8" s="2844"/>
      <c r="BE8" s="2844"/>
      <c r="BF8" s="2845"/>
      <c r="BG8" s="2867"/>
      <c r="BH8" s="2868"/>
      <c r="BI8" s="2868"/>
      <c r="BJ8" s="2868"/>
      <c r="BK8" s="2868"/>
      <c r="BL8" s="2868"/>
      <c r="BM8" s="2868"/>
      <c r="BN8" s="2868"/>
      <c r="BO8" s="2868"/>
      <c r="BP8" s="2869"/>
    </row>
    <row r="9" spans="1:68"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846"/>
      <c r="AX9" s="2847"/>
      <c r="AY9" s="2847"/>
      <c r="AZ9" s="2847"/>
      <c r="BA9" s="2847"/>
      <c r="BB9" s="2847"/>
      <c r="BC9" s="2847"/>
      <c r="BD9" s="2847"/>
      <c r="BE9" s="2847"/>
      <c r="BF9" s="2848"/>
      <c r="BG9" s="2870"/>
      <c r="BH9" s="2871"/>
      <c r="BI9" s="2871"/>
      <c r="BJ9" s="2871"/>
      <c r="BK9" s="2871"/>
      <c r="BL9" s="2871"/>
      <c r="BM9" s="2871"/>
      <c r="BN9" s="2871"/>
      <c r="BO9" s="2871"/>
      <c r="BP9" s="2872"/>
    </row>
    <row r="10" spans="1:68" ht="9" customHeight="1" thickBot="1">
      <c r="A10" s="3"/>
      <c r="B10" s="4"/>
      <c r="C10" s="3"/>
      <c r="D10" s="3"/>
      <c r="E10" s="4"/>
      <c r="F10" s="5"/>
      <c r="G10" s="6"/>
      <c r="H10" s="4"/>
      <c r="I10" s="7"/>
      <c r="J10" s="4"/>
      <c r="K10" s="8"/>
      <c r="L10" s="8"/>
      <c r="M10" s="4"/>
      <c r="N10" s="4"/>
      <c r="O10" s="4"/>
      <c r="P10" s="4"/>
      <c r="Q10" s="4"/>
      <c r="R10" s="4"/>
      <c r="S10" s="4"/>
      <c r="T10" s="4"/>
      <c r="U10" s="4"/>
      <c r="V10" s="4"/>
      <c r="W10" s="4"/>
      <c r="X10" s="4"/>
      <c r="Y10" s="9"/>
      <c r="Z10" s="10"/>
      <c r="AA10" s="4"/>
      <c r="AB10" s="11"/>
      <c r="AC10" s="1360"/>
      <c r="AD10" s="1594"/>
      <c r="AE10" s="1360"/>
      <c r="AF10" s="1360"/>
      <c r="AG10" s="11"/>
      <c r="AH10" s="11"/>
      <c r="AI10" s="11"/>
      <c r="AJ10" s="11"/>
      <c r="AK10" s="11"/>
      <c r="AL10" s="11"/>
      <c r="AM10" s="12"/>
      <c r="AN10" s="12"/>
      <c r="AO10" s="12"/>
      <c r="AP10" s="12"/>
      <c r="AQ10" s="12"/>
      <c r="AR10" s="12"/>
      <c r="AS10" s="12"/>
      <c r="AT10" s="12"/>
      <c r="AU10" s="12"/>
      <c r="AV10" s="12"/>
      <c r="AW10" s="12"/>
      <c r="AX10" s="12"/>
      <c r="AY10" s="12"/>
      <c r="AZ10" s="12"/>
      <c r="BA10" s="12"/>
      <c r="BB10" s="12"/>
      <c r="BC10" s="12"/>
      <c r="BG10" s="12"/>
      <c r="BH10" s="12"/>
      <c r="BI10" s="12"/>
      <c r="BJ10" s="12"/>
      <c r="BK10" s="12"/>
      <c r="BL10" s="12"/>
      <c r="BM10" s="12"/>
      <c r="BN10" s="12"/>
      <c r="BO10" s="12"/>
      <c r="BP10" s="12"/>
    </row>
    <row r="11" spans="1:68" s="3" customFormat="1" ht="21" customHeight="1" thickBot="1">
      <c r="A11" s="2641" t="s">
        <v>7</v>
      </c>
      <c r="B11" s="2641"/>
      <c r="C11" s="2641"/>
      <c r="D11" s="2641"/>
      <c r="E11" s="2642" t="s">
        <v>8</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37" t="s">
        <v>8</v>
      </c>
      <c r="AC11" s="2637"/>
      <c r="AD11" s="2637"/>
      <c r="AE11" s="2637"/>
      <c r="AF11" s="2637"/>
      <c r="AG11" s="2637"/>
      <c r="AH11" s="2637"/>
      <c r="AI11" s="2637"/>
      <c r="AJ11" s="2637"/>
      <c r="AK11" s="2637"/>
      <c r="AL11" s="2637"/>
      <c r="AM11" s="2637" t="s">
        <v>8</v>
      </c>
      <c r="AN11" s="2637"/>
      <c r="AO11" s="2637"/>
      <c r="AP11" s="2637"/>
      <c r="AQ11" s="2637"/>
      <c r="AR11" s="2637"/>
      <c r="AS11" s="2637"/>
      <c r="AT11" s="2637"/>
      <c r="AU11" s="2637"/>
      <c r="AV11" s="2637"/>
      <c r="AW11" s="2642" t="s">
        <v>8</v>
      </c>
      <c r="AX11" s="2643"/>
      <c r="AY11" s="2643"/>
      <c r="AZ11" s="2643"/>
      <c r="BA11" s="2643"/>
      <c r="BB11" s="2643"/>
      <c r="BC11" s="2643"/>
      <c r="BD11" s="2643"/>
      <c r="BE11" s="2643"/>
      <c r="BF11" s="2644"/>
      <c r="BG11" s="2637" t="s">
        <v>8</v>
      </c>
      <c r="BH11" s="2637"/>
      <c r="BI11" s="2637"/>
      <c r="BJ11" s="2637"/>
      <c r="BK11" s="2637"/>
      <c r="BL11" s="2637"/>
      <c r="BM11" s="2637"/>
      <c r="BN11" s="2637"/>
      <c r="BO11" s="2637"/>
      <c r="BP11" s="2637"/>
    </row>
    <row r="12" spans="2:68" s="13" customFormat="1" ht="9.95" customHeight="1" thickBot="1">
      <c r="B12" s="14"/>
      <c r="E12" s="14"/>
      <c r="F12" s="15"/>
      <c r="G12" s="16"/>
      <c r="H12" s="14"/>
      <c r="I12" s="17"/>
      <c r="J12" s="14"/>
      <c r="K12" s="18"/>
      <c r="L12" s="18"/>
      <c r="M12" s="14"/>
      <c r="N12" s="14"/>
      <c r="O12" s="14"/>
      <c r="P12" s="14"/>
      <c r="Q12" s="14"/>
      <c r="R12" s="14"/>
      <c r="S12" s="14"/>
      <c r="T12" s="14"/>
      <c r="U12" s="14"/>
      <c r="V12" s="14"/>
      <c r="W12" s="14"/>
      <c r="X12" s="14"/>
      <c r="Y12" s="19"/>
      <c r="Z12" s="20"/>
      <c r="AA12" s="14"/>
      <c r="AB12" s="21"/>
      <c r="AC12" s="1361"/>
      <c r="AD12" s="1595"/>
      <c r="AE12" s="1361"/>
      <c r="AF12" s="1361"/>
      <c r="AG12" s="21"/>
      <c r="AH12" s="21"/>
      <c r="AI12" s="21"/>
      <c r="AJ12" s="21"/>
      <c r="AK12" s="21"/>
      <c r="AL12" s="21"/>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row>
    <row r="13" spans="1:68" s="4" customFormat="1" ht="21" customHeight="1" thickBot="1">
      <c r="A13" s="2645" t="s">
        <v>9</v>
      </c>
      <c r="B13" s="2646"/>
      <c r="C13" s="2646"/>
      <c r="D13" s="2647"/>
      <c r="E13" s="2648" t="s">
        <v>10</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51" t="s">
        <v>10</v>
      </c>
      <c r="AC13" s="2651"/>
      <c r="AD13" s="2651"/>
      <c r="AE13" s="2651"/>
      <c r="AF13" s="2651"/>
      <c r="AG13" s="2651"/>
      <c r="AH13" s="2651"/>
      <c r="AI13" s="2651"/>
      <c r="AJ13" s="2651"/>
      <c r="AK13" s="2651"/>
      <c r="AL13" s="2651"/>
      <c r="AM13" s="2651" t="s">
        <v>10</v>
      </c>
      <c r="AN13" s="2651"/>
      <c r="AO13" s="2651"/>
      <c r="AP13" s="2651"/>
      <c r="AQ13" s="2651"/>
      <c r="AR13" s="2651"/>
      <c r="AS13" s="2651"/>
      <c r="AT13" s="2651"/>
      <c r="AU13" s="2651"/>
      <c r="AV13" s="2651"/>
      <c r="AW13" s="2648" t="s">
        <v>10</v>
      </c>
      <c r="AX13" s="2649"/>
      <c r="AY13" s="2649"/>
      <c r="AZ13" s="2649"/>
      <c r="BA13" s="2649"/>
      <c r="BB13" s="2649"/>
      <c r="BC13" s="2649"/>
      <c r="BD13" s="2649"/>
      <c r="BE13" s="2649"/>
      <c r="BF13" s="2650"/>
      <c r="BG13" s="2651" t="s">
        <v>10</v>
      </c>
      <c r="BH13" s="2651"/>
      <c r="BI13" s="2651"/>
      <c r="BJ13" s="2651"/>
      <c r="BK13" s="2651"/>
      <c r="BL13" s="2651"/>
      <c r="BM13" s="2651"/>
      <c r="BN13" s="2651"/>
      <c r="BO13" s="2651"/>
      <c r="BP13" s="2651"/>
    </row>
    <row r="14" spans="2:68" s="13" customFormat="1" ht="9.95" customHeight="1" thickBot="1">
      <c r="B14" s="14"/>
      <c r="E14" s="14"/>
      <c r="F14" s="15"/>
      <c r="G14" s="16"/>
      <c r="H14" s="14"/>
      <c r="I14" s="17"/>
      <c r="J14" s="14"/>
      <c r="K14" s="18"/>
      <c r="L14" s="18"/>
      <c r="M14" s="14"/>
      <c r="N14" s="14"/>
      <c r="O14" s="14"/>
      <c r="P14" s="14"/>
      <c r="Q14" s="14"/>
      <c r="R14" s="14"/>
      <c r="S14" s="14"/>
      <c r="T14" s="14"/>
      <c r="U14" s="14"/>
      <c r="V14" s="14"/>
      <c r="W14" s="14"/>
      <c r="X14" s="14"/>
      <c r="Y14" s="19"/>
      <c r="Z14" s="20"/>
      <c r="AA14" s="14"/>
      <c r="AB14" s="21"/>
      <c r="AC14" s="1361"/>
      <c r="AD14" s="1595"/>
      <c r="AE14" s="1361"/>
      <c r="AF14" s="1361"/>
      <c r="AG14" s="21"/>
      <c r="AH14" s="21"/>
      <c r="AI14" s="21"/>
      <c r="AJ14" s="21"/>
      <c r="AK14" s="21"/>
      <c r="AL14" s="21"/>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row>
    <row r="15" spans="1:68" s="35" customFormat="1" ht="39" thickBot="1">
      <c r="A15" s="22" t="s">
        <v>11</v>
      </c>
      <c r="B15" s="23" t="s">
        <v>12</v>
      </c>
      <c r="C15" s="22" t="s">
        <v>13</v>
      </c>
      <c r="D15" s="22" t="s">
        <v>14</v>
      </c>
      <c r="E15" s="24" t="s">
        <v>15</v>
      </c>
      <c r="F15" s="25" t="s">
        <v>16</v>
      </c>
      <c r="G15" s="26" t="s">
        <v>17</v>
      </c>
      <c r="H15" s="26" t="s">
        <v>18</v>
      </c>
      <c r="I15" s="27" t="s">
        <v>19</v>
      </c>
      <c r="J15" s="26" t="s">
        <v>20</v>
      </c>
      <c r="K15" s="26" t="s">
        <v>21</v>
      </c>
      <c r="L15" s="26" t="s">
        <v>22</v>
      </c>
      <c r="M15" s="28" t="s">
        <v>23</v>
      </c>
      <c r="N15" s="28" t="s">
        <v>24</v>
      </c>
      <c r="O15" s="28" t="s">
        <v>25</v>
      </c>
      <c r="P15" s="28" t="s">
        <v>26</v>
      </c>
      <c r="Q15" s="28" t="s">
        <v>27</v>
      </c>
      <c r="R15" s="28" t="s">
        <v>28</v>
      </c>
      <c r="S15" s="28" t="s">
        <v>29</v>
      </c>
      <c r="T15" s="28" t="s">
        <v>30</v>
      </c>
      <c r="U15" s="28" t="s">
        <v>31</v>
      </c>
      <c r="V15" s="28" t="s">
        <v>32</v>
      </c>
      <c r="W15" s="28" t="s">
        <v>33</v>
      </c>
      <c r="X15" s="28" t="s">
        <v>34</v>
      </c>
      <c r="Y15" s="29" t="s">
        <v>35</v>
      </c>
      <c r="Z15" s="30" t="s">
        <v>36</v>
      </c>
      <c r="AA15" s="31" t="s">
        <v>37</v>
      </c>
      <c r="AB15" s="1322" t="s">
        <v>38</v>
      </c>
      <c r="AC15" s="1613" t="s">
        <v>1781</v>
      </c>
      <c r="AD15" s="1508" t="s">
        <v>39</v>
      </c>
      <c r="AE15" s="1614" t="s">
        <v>1821</v>
      </c>
      <c r="AF15" s="1614" t="s">
        <v>1822</v>
      </c>
      <c r="AG15" s="613" t="s">
        <v>1783</v>
      </c>
      <c r="AH15" s="1322" t="s">
        <v>40</v>
      </c>
      <c r="AI15" s="1322" t="s">
        <v>41</v>
      </c>
      <c r="AJ15" s="1322" t="s">
        <v>42</v>
      </c>
      <c r="AK15" s="1322" t="s">
        <v>43</v>
      </c>
      <c r="AL15" s="1322" t="s">
        <v>44</v>
      </c>
      <c r="AM15" s="33" t="s">
        <v>45</v>
      </c>
      <c r="AN15" s="33" t="s">
        <v>1781</v>
      </c>
      <c r="AO15" s="33" t="s">
        <v>46</v>
      </c>
      <c r="AP15" s="33" t="s">
        <v>2193</v>
      </c>
      <c r="AQ15" s="33" t="s">
        <v>1822</v>
      </c>
      <c r="AR15" s="33" t="s">
        <v>2164</v>
      </c>
      <c r="AS15" s="33" t="s">
        <v>41</v>
      </c>
      <c r="AT15" s="33" t="s">
        <v>42</v>
      </c>
      <c r="AU15" s="33" t="s">
        <v>43</v>
      </c>
      <c r="AV15" s="1957" t="s">
        <v>44</v>
      </c>
      <c r="AW15" s="2068" t="s">
        <v>47</v>
      </c>
      <c r="AX15" s="2068" t="s">
        <v>1781</v>
      </c>
      <c r="AY15" s="2068" t="s">
        <v>48</v>
      </c>
      <c r="AZ15" s="2068" t="s">
        <v>2453</v>
      </c>
      <c r="BA15" s="2068" t="s">
        <v>1822</v>
      </c>
      <c r="BB15" s="2068" t="s">
        <v>2698</v>
      </c>
      <c r="BC15" s="2068" t="s">
        <v>41</v>
      </c>
      <c r="BD15" s="2068" t="s">
        <v>42</v>
      </c>
      <c r="BE15" s="2068" t="s">
        <v>43</v>
      </c>
      <c r="BF15" s="2068" t="s">
        <v>44</v>
      </c>
      <c r="BG15" s="2079" t="s">
        <v>49</v>
      </c>
      <c r="BH15" s="2079" t="s">
        <v>1781</v>
      </c>
      <c r="BI15" s="2079" t="s">
        <v>50</v>
      </c>
      <c r="BJ15" s="2079" t="s">
        <v>2946</v>
      </c>
      <c r="BK15" s="2079" t="s">
        <v>1822</v>
      </c>
      <c r="BL15" s="2079" t="s">
        <v>2947</v>
      </c>
      <c r="BM15" s="2079" t="s">
        <v>41</v>
      </c>
      <c r="BN15" s="2079" t="s">
        <v>42</v>
      </c>
      <c r="BO15" s="2079" t="s">
        <v>43</v>
      </c>
      <c r="BP15" s="2479" t="s">
        <v>44</v>
      </c>
    </row>
    <row r="16" spans="1:68" s="49" customFormat="1" ht="56.25" customHeight="1" thickBot="1">
      <c r="A16" s="2672">
        <v>1</v>
      </c>
      <c r="B16" s="2672" t="s">
        <v>51</v>
      </c>
      <c r="C16" s="2656" t="s">
        <v>52</v>
      </c>
      <c r="D16" s="612" t="s">
        <v>53</v>
      </c>
      <c r="E16" s="37" t="s">
        <v>54</v>
      </c>
      <c r="F16" s="38">
        <v>1</v>
      </c>
      <c r="G16" s="39" t="s">
        <v>55</v>
      </c>
      <c r="H16" s="40" t="s">
        <v>56</v>
      </c>
      <c r="I16" s="41">
        <f>100%/8</f>
        <v>0.125</v>
      </c>
      <c r="J16" s="42" t="s">
        <v>57</v>
      </c>
      <c r="K16" s="43">
        <v>42005</v>
      </c>
      <c r="L16" s="43">
        <v>42035</v>
      </c>
      <c r="M16" s="44">
        <v>1</v>
      </c>
      <c r="N16" s="44"/>
      <c r="O16" s="44"/>
      <c r="P16" s="44"/>
      <c r="Q16" s="44"/>
      <c r="R16" s="44"/>
      <c r="S16" s="44"/>
      <c r="T16" s="44"/>
      <c r="U16" s="44"/>
      <c r="V16" s="44"/>
      <c r="W16" s="44"/>
      <c r="X16" s="44"/>
      <c r="Y16" s="45">
        <f>SUM(M16:X16)</f>
        <v>1</v>
      </c>
      <c r="Z16" s="608">
        <v>0</v>
      </c>
      <c r="AA16" s="491" t="s">
        <v>1090</v>
      </c>
      <c r="AB16" s="1378">
        <f>SUM(M16:N16)</f>
        <v>1</v>
      </c>
      <c r="AC16" s="1630">
        <f>IF(AB16=0,0%,100%)</f>
        <v>1</v>
      </c>
      <c r="AD16" s="1552">
        <v>1</v>
      </c>
      <c r="AE16" s="1630">
        <f>AD16/AB16</f>
        <v>1</v>
      </c>
      <c r="AF16" s="1630">
        <f>AD16/Y16</f>
        <v>1</v>
      </c>
      <c r="AG16" s="1335">
        <f>AF16</f>
        <v>1</v>
      </c>
      <c r="AH16" s="1335">
        <v>1</v>
      </c>
      <c r="AI16" s="1378"/>
      <c r="AJ16" s="1378"/>
      <c r="AK16" s="1378"/>
      <c r="AL16" s="1378"/>
      <c r="AM16" s="1692">
        <f>SUM(M16:P16)</f>
        <v>1</v>
      </c>
      <c r="AN16" s="1699">
        <f>IF(AM16=0,0%,100%)</f>
        <v>1</v>
      </c>
      <c r="AO16" s="1697">
        <v>0</v>
      </c>
      <c r="AP16" s="1699">
        <f>AO16/AM16</f>
        <v>0</v>
      </c>
      <c r="AQ16" s="1699">
        <f>AO16/Y16</f>
        <v>0</v>
      </c>
      <c r="AR16" s="1699">
        <f aca="true" t="shared" si="0" ref="AR16:AR79">IF(AN16&gt;0,AP16,"-")</f>
        <v>0</v>
      </c>
      <c r="AS16" s="1743">
        <v>0</v>
      </c>
      <c r="AT16" s="1699">
        <v>0</v>
      </c>
      <c r="AU16" s="1692"/>
      <c r="AV16" s="1958"/>
      <c r="AW16" s="2232">
        <f>SUM(M16:R16)</f>
        <v>1</v>
      </c>
      <c r="AX16" s="2234">
        <f>IF(AW16=0,0%,100%)</f>
        <v>1</v>
      </c>
      <c r="AY16" s="2232">
        <v>1</v>
      </c>
      <c r="AZ16" s="2234">
        <v>1</v>
      </c>
      <c r="BA16" s="2234">
        <v>1</v>
      </c>
      <c r="BB16" s="2234">
        <v>1</v>
      </c>
      <c r="BC16" s="2311">
        <v>0</v>
      </c>
      <c r="BD16" s="1962" t="s">
        <v>1090</v>
      </c>
      <c r="BE16" s="1962"/>
      <c r="BF16" s="1962"/>
      <c r="BG16" s="2474">
        <f>SUM(M16:T16)</f>
        <v>1</v>
      </c>
      <c r="BH16" s="2475">
        <f>IF(BG16=0,0%,100%)</f>
        <v>1</v>
      </c>
      <c r="BI16" s="2476">
        <v>1</v>
      </c>
      <c r="BJ16" s="2475">
        <v>1</v>
      </c>
      <c r="BK16" s="2475"/>
      <c r="BL16" s="2475">
        <v>1</v>
      </c>
      <c r="BM16" s="2477"/>
      <c r="BN16" s="2475"/>
      <c r="BO16" s="2474" t="s">
        <v>3062</v>
      </c>
      <c r="BP16" s="2480"/>
    </row>
    <row r="17" spans="1:68" s="49" customFormat="1" ht="105" customHeight="1" thickBot="1">
      <c r="A17" s="2672"/>
      <c r="B17" s="2672"/>
      <c r="C17" s="2657"/>
      <c r="D17" s="612" t="s">
        <v>58</v>
      </c>
      <c r="E17" s="37" t="s">
        <v>54</v>
      </c>
      <c r="F17" s="38">
        <v>3</v>
      </c>
      <c r="G17" s="39" t="s">
        <v>59</v>
      </c>
      <c r="H17" s="40" t="s">
        <v>56</v>
      </c>
      <c r="I17" s="41">
        <f aca="true" t="shared" si="1" ref="I17:I23">100%/8</f>
        <v>0.125</v>
      </c>
      <c r="J17" s="42" t="s">
        <v>60</v>
      </c>
      <c r="K17" s="43">
        <v>42005</v>
      </c>
      <c r="L17" s="43">
        <v>42035</v>
      </c>
      <c r="M17" s="44"/>
      <c r="N17" s="44"/>
      <c r="O17" s="44"/>
      <c r="P17" s="44">
        <v>1</v>
      </c>
      <c r="Q17" s="44"/>
      <c r="R17" s="44"/>
      <c r="S17" s="44"/>
      <c r="T17" s="44">
        <v>1</v>
      </c>
      <c r="U17" s="44"/>
      <c r="V17" s="44"/>
      <c r="W17" s="44">
        <v>1</v>
      </c>
      <c r="X17" s="44"/>
      <c r="Y17" s="45">
        <f aca="true" t="shared" si="2" ref="Y17:Y23">SUM(M17:X17)</f>
        <v>3</v>
      </c>
      <c r="Z17" s="608">
        <v>0</v>
      </c>
      <c r="AA17" s="491" t="s">
        <v>1090</v>
      </c>
      <c r="AB17" s="1378">
        <f aca="true" t="shared" si="3" ref="AB17:AB79">SUM(M17:N17)</f>
        <v>0</v>
      </c>
      <c r="AC17" s="1630">
        <f aca="true" t="shared" si="4" ref="AC17:AC33">IF(AB17=0,0%,100%)</f>
        <v>0</v>
      </c>
      <c r="AD17" s="1552">
        <v>0</v>
      </c>
      <c r="AE17" s="1630" t="s">
        <v>1090</v>
      </c>
      <c r="AF17" s="1630">
        <f aca="true" t="shared" si="5" ref="AF17:AF23">AD17/Y17</f>
        <v>0</v>
      </c>
      <c r="AG17" s="1335">
        <f aca="true" t="shared" si="6" ref="AG17:AG23">AF17</f>
        <v>0</v>
      </c>
      <c r="AH17" s="1335">
        <v>0</v>
      </c>
      <c r="AI17" s="1378"/>
      <c r="AJ17" s="1378"/>
      <c r="AK17" s="1378"/>
      <c r="AL17" s="1378"/>
      <c r="AM17" s="1692">
        <f aca="true" t="shared" si="7" ref="AM17:AM23">SUM(M17:P17)</f>
        <v>1</v>
      </c>
      <c r="AN17" s="1699">
        <f aca="true" t="shared" si="8" ref="AN17:AN80">IF(AM17=0,0%,100%)</f>
        <v>1</v>
      </c>
      <c r="AO17" s="1697">
        <v>0</v>
      </c>
      <c r="AP17" s="1699">
        <f aca="true" t="shared" si="9" ref="AP17:AP79">AO17/AM17</f>
        <v>0</v>
      </c>
      <c r="AQ17" s="1699">
        <f aca="true" t="shared" si="10" ref="AQ17:AQ79">AO17/Y17</f>
        <v>0</v>
      </c>
      <c r="AR17" s="1699">
        <f t="shared" si="0"/>
        <v>0</v>
      </c>
      <c r="AS17" s="1743">
        <v>0</v>
      </c>
      <c r="AT17" s="1699">
        <v>0</v>
      </c>
      <c r="AU17" s="1692" t="s">
        <v>2366</v>
      </c>
      <c r="AV17" s="1958" t="s">
        <v>2367</v>
      </c>
      <c r="AW17" s="2232">
        <f aca="true" t="shared" si="11" ref="AW17:AW23">SUM(M17:R17)</f>
        <v>1</v>
      </c>
      <c r="AX17" s="2234">
        <f aca="true" t="shared" si="12" ref="AX17:AX80">IF(AW17=0,0%,100%)</f>
        <v>1</v>
      </c>
      <c r="AY17" s="2232">
        <v>0</v>
      </c>
      <c r="AZ17" s="2234">
        <v>0</v>
      </c>
      <c r="BA17" s="2234">
        <v>0</v>
      </c>
      <c r="BB17" s="2234">
        <v>0</v>
      </c>
      <c r="BC17" s="2311">
        <v>0</v>
      </c>
      <c r="BD17" s="1962" t="s">
        <v>1090</v>
      </c>
      <c r="BE17" s="1962"/>
      <c r="BF17" s="1962"/>
      <c r="BG17" s="2474">
        <f aca="true" t="shared" si="13" ref="BG17:BG23">SUM(M17:T17)</f>
        <v>2</v>
      </c>
      <c r="BH17" s="2475">
        <f aca="true" t="shared" si="14" ref="BH17:BH80">IF(BG17=0,0%,100%)</f>
        <v>1</v>
      </c>
      <c r="BI17" s="2476">
        <v>1</v>
      </c>
      <c r="BJ17" s="2475">
        <f>BI17/BG17</f>
        <v>0.5</v>
      </c>
      <c r="BK17" s="2475"/>
      <c r="BL17" s="2475">
        <f>BI17/Y17</f>
        <v>0.3333333333333333</v>
      </c>
      <c r="BM17" s="2477"/>
      <c r="BN17" s="2475"/>
      <c r="BO17" s="2474" t="s">
        <v>3063</v>
      </c>
      <c r="BP17" s="2480"/>
    </row>
    <row r="18" spans="1:68" s="49" customFormat="1" ht="75.75" customHeight="1" thickBot="1">
      <c r="A18" s="2672"/>
      <c r="B18" s="2672"/>
      <c r="C18" s="2657"/>
      <c r="D18" s="612" t="s">
        <v>61</v>
      </c>
      <c r="E18" s="37" t="s">
        <v>62</v>
      </c>
      <c r="F18" s="38">
        <v>22</v>
      </c>
      <c r="G18" s="39" t="s">
        <v>63</v>
      </c>
      <c r="H18" s="40" t="s">
        <v>64</v>
      </c>
      <c r="I18" s="41">
        <f t="shared" si="1"/>
        <v>0.125</v>
      </c>
      <c r="J18" s="42" t="s">
        <v>65</v>
      </c>
      <c r="K18" s="43">
        <v>42019</v>
      </c>
      <c r="L18" s="43">
        <v>42369</v>
      </c>
      <c r="M18" s="44">
        <v>4</v>
      </c>
      <c r="N18" s="44">
        <v>2</v>
      </c>
      <c r="O18" s="44">
        <v>9</v>
      </c>
      <c r="P18" s="44">
        <v>4</v>
      </c>
      <c r="Q18" s="44">
        <v>1</v>
      </c>
      <c r="R18" s="44"/>
      <c r="S18" s="44"/>
      <c r="T18" s="44"/>
      <c r="U18" s="44"/>
      <c r="V18" s="44">
        <v>1</v>
      </c>
      <c r="W18" s="44">
        <v>1</v>
      </c>
      <c r="X18" s="44"/>
      <c r="Y18" s="45">
        <f t="shared" si="2"/>
        <v>22</v>
      </c>
      <c r="Z18" s="608">
        <v>0</v>
      </c>
      <c r="AA18" s="491" t="s">
        <v>1090</v>
      </c>
      <c r="AB18" s="1378">
        <f t="shared" si="3"/>
        <v>6</v>
      </c>
      <c r="AC18" s="1630">
        <f t="shared" si="4"/>
        <v>1</v>
      </c>
      <c r="AD18" s="1552">
        <v>1</v>
      </c>
      <c r="AE18" s="1630">
        <f aca="true" t="shared" si="15" ref="AE18:AE22">AD18/AB18</f>
        <v>0.16666666666666666</v>
      </c>
      <c r="AF18" s="1630">
        <f t="shared" si="5"/>
        <v>0.045454545454545456</v>
      </c>
      <c r="AG18" s="1335">
        <f t="shared" si="6"/>
        <v>0.045454545454545456</v>
      </c>
      <c r="AH18" s="1335"/>
      <c r="AI18" s="1378"/>
      <c r="AJ18" s="1378"/>
      <c r="AK18" s="1378"/>
      <c r="AL18" s="1378"/>
      <c r="AM18" s="1692">
        <f t="shared" si="7"/>
        <v>19</v>
      </c>
      <c r="AN18" s="1699">
        <f t="shared" si="8"/>
        <v>1</v>
      </c>
      <c r="AO18" s="1697">
        <v>0</v>
      </c>
      <c r="AP18" s="1699">
        <f t="shared" si="9"/>
        <v>0</v>
      </c>
      <c r="AQ18" s="1699">
        <f t="shared" si="10"/>
        <v>0</v>
      </c>
      <c r="AR18" s="1699">
        <f t="shared" si="0"/>
        <v>0</v>
      </c>
      <c r="AS18" s="1743">
        <v>0</v>
      </c>
      <c r="AT18" s="1699">
        <v>0</v>
      </c>
      <c r="AU18" s="1692" t="s">
        <v>2368</v>
      </c>
      <c r="AV18" s="1958" t="s">
        <v>2369</v>
      </c>
      <c r="AW18" s="2232">
        <f t="shared" si="11"/>
        <v>20</v>
      </c>
      <c r="AX18" s="2234">
        <f t="shared" si="12"/>
        <v>1</v>
      </c>
      <c r="AY18" s="2232">
        <v>22</v>
      </c>
      <c r="AZ18" s="2234">
        <v>1</v>
      </c>
      <c r="BA18" s="2234">
        <v>1</v>
      </c>
      <c r="BB18" s="2234">
        <v>1</v>
      </c>
      <c r="BC18" s="2311">
        <v>0</v>
      </c>
      <c r="BD18" s="1962" t="s">
        <v>1090</v>
      </c>
      <c r="BE18" s="1962" t="s">
        <v>2717</v>
      </c>
      <c r="BF18" s="1962"/>
      <c r="BG18" s="2474">
        <f t="shared" si="13"/>
        <v>20</v>
      </c>
      <c r="BH18" s="2475">
        <f t="shared" si="14"/>
        <v>1</v>
      </c>
      <c r="BI18" s="2476">
        <v>22</v>
      </c>
      <c r="BJ18" s="2475">
        <v>1</v>
      </c>
      <c r="BK18" s="2475"/>
      <c r="BL18" s="2475">
        <f aca="true" t="shared" si="16" ref="BL18:BL22">BI18/Y18</f>
        <v>1</v>
      </c>
      <c r="BM18" s="2477"/>
      <c r="BN18" s="2475"/>
      <c r="BO18" s="2474" t="s">
        <v>3064</v>
      </c>
      <c r="BP18" s="2480"/>
    </row>
    <row r="19" spans="1:68" s="49" customFormat="1" ht="82.5" customHeight="1" thickBot="1">
      <c r="A19" s="2672"/>
      <c r="B19" s="2672"/>
      <c r="C19" s="2664"/>
      <c r="D19" s="50" t="s">
        <v>66</v>
      </c>
      <c r="E19" s="51" t="s">
        <v>67</v>
      </c>
      <c r="F19" s="52">
        <v>12</v>
      </c>
      <c r="G19" s="53" t="s">
        <v>68</v>
      </c>
      <c r="H19" s="54" t="s">
        <v>64</v>
      </c>
      <c r="I19" s="41">
        <f t="shared" si="1"/>
        <v>0.125</v>
      </c>
      <c r="J19" s="55" t="s">
        <v>69</v>
      </c>
      <c r="K19" s="56">
        <v>42035</v>
      </c>
      <c r="L19" s="56">
        <v>42369</v>
      </c>
      <c r="M19" s="57">
        <v>1</v>
      </c>
      <c r="N19" s="57">
        <v>1</v>
      </c>
      <c r="O19" s="57">
        <v>1</v>
      </c>
      <c r="P19" s="57">
        <v>1</v>
      </c>
      <c r="Q19" s="57">
        <v>1</v>
      </c>
      <c r="R19" s="57">
        <v>1</v>
      </c>
      <c r="S19" s="57">
        <v>1</v>
      </c>
      <c r="T19" s="57">
        <v>1</v>
      </c>
      <c r="U19" s="57">
        <v>1</v>
      </c>
      <c r="V19" s="57">
        <v>1</v>
      </c>
      <c r="W19" s="57">
        <v>1</v>
      </c>
      <c r="X19" s="57">
        <v>1</v>
      </c>
      <c r="Y19" s="45">
        <f t="shared" si="2"/>
        <v>12</v>
      </c>
      <c r="Z19" s="608">
        <v>0</v>
      </c>
      <c r="AA19" s="491" t="s">
        <v>1090</v>
      </c>
      <c r="AB19" s="1378">
        <f t="shared" si="3"/>
        <v>2</v>
      </c>
      <c r="AC19" s="1630">
        <f t="shared" si="4"/>
        <v>1</v>
      </c>
      <c r="AD19" s="1552">
        <v>2</v>
      </c>
      <c r="AE19" s="1630">
        <f t="shared" si="15"/>
        <v>1</v>
      </c>
      <c r="AF19" s="1630">
        <f t="shared" si="5"/>
        <v>0.16666666666666666</v>
      </c>
      <c r="AG19" s="1335">
        <f t="shared" si="6"/>
        <v>0.16666666666666666</v>
      </c>
      <c r="AH19" s="1335">
        <v>1</v>
      </c>
      <c r="AI19" s="1378"/>
      <c r="AJ19" s="1378"/>
      <c r="AK19" s="1378"/>
      <c r="AL19" s="1378"/>
      <c r="AM19" s="1692">
        <f t="shared" si="7"/>
        <v>4</v>
      </c>
      <c r="AN19" s="1699">
        <f t="shared" si="8"/>
        <v>1</v>
      </c>
      <c r="AO19" s="1697">
        <v>1</v>
      </c>
      <c r="AP19" s="1699">
        <f t="shared" si="9"/>
        <v>0.25</v>
      </c>
      <c r="AQ19" s="1699">
        <f t="shared" si="10"/>
        <v>0.08333333333333333</v>
      </c>
      <c r="AR19" s="1699">
        <f t="shared" si="0"/>
        <v>0.25</v>
      </c>
      <c r="AS19" s="1743">
        <v>0</v>
      </c>
      <c r="AT19" s="1699">
        <v>0</v>
      </c>
      <c r="AU19" s="1692" t="s">
        <v>2370</v>
      </c>
      <c r="AV19" s="1958"/>
      <c r="AW19" s="2232">
        <f t="shared" si="11"/>
        <v>6</v>
      </c>
      <c r="AX19" s="2234">
        <f t="shared" si="12"/>
        <v>1</v>
      </c>
      <c r="AY19" s="2232">
        <v>6</v>
      </c>
      <c r="AZ19" s="2234">
        <v>1</v>
      </c>
      <c r="BA19" s="2234">
        <v>0.5</v>
      </c>
      <c r="BB19" s="2234">
        <v>0.5</v>
      </c>
      <c r="BC19" s="2311">
        <v>0</v>
      </c>
      <c r="BD19" s="1962" t="s">
        <v>1090</v>
      </c>
      <c r="BE19" s="1962" t="s">
        <v>2715</v>
      </c>
      <c r="BF19" s="1962"/>
      <c r="BG19" s="2474">
        <f t="shared" si="13"/>
        <v>8</v>
      </c>
      <c r="BH19" s="2475">
        <f t="shared" si="14"/>
        <v>1</v>
      </c>
      <c r="BI19" s="2476">
        <v>8</v>
      </c>
      <c r="BJ19" s="2475">
        <v>1</v>
      </c>
      <c r="BK19" s="2475"/>
      <c r="BL19" s="2475">
        <f t="shared" si="16"/>
        <v>0.6666666666666666</v>
      </c>
      <c r="BM19" s="2477"/>
      <c r="BN19" s="2475"/>
      <c r="BO19" s="2474" t="s">
        <v>3064</v>
      </c>
      <c r="BP19" s="2480"/>
    </row>
    <row r="20" spans="1:68" s="49" customFormat="1" ht="71.25" customHeight="1" thickBot="1">
      <c r="A20" s="2672"/>
      <c r="B20" s="2672"/>
      <c r="C20" s="2657" t="s">
        <v>70</v>
      </c>
      <c r="D20" s="58" t="s">
        <v>71</v>
      </c>
      <c r="E20" s="59" t="s">
        <v>72</v>
      </c>
      <c r="F20" s="52">
        <v>1</v>
      </c>
      <c r="G20" s="60" t="s">
        <v>73</v>
      </c>
      <c r="H20" s="54" t="s">
        <v>64</v>
      </c>
      <c r="I20" s="41">
        <f t="shared" si="1"/>
        <v>0.125</v>
      </c>
      <c r="J20" s="61" t="s">
        <v>74</v>
      </c>
      <c r="K20" s="62">
        <v>42358</v>
      </c>
      <c r="L20" s="62">
        <v>42019</v>
      </c>
      <c r="M20" s="57">
        <v>1</v>
      </c>
      <c r="N20" s="57"/>
      <c r="O20" s="57"/>
      <c r="P20" s="57"/>
      <c r="Q20" s="57"/>
      <c r="R20" s="57"/>
      <c r="S20" s="57"/>
      <c r="T20" s="57"/>
      <c r="U20" s="57"/>
      <c r="V20" s="57"/>
      <c r="W20" s="57"/>
      <c r="X20" s="57"/>
      <c r="Y20" s="45">
        <f t="shared" si="2"/>
        <v>1</v>
      </c>
      <c r="Z20" s="608">
        <v>0</v>
      </c>
      <c r="AA20" s="491" t="s">
        <v>1090</v>
      </c>
      <c r="AB20" s="1378">
        <f t="shared" si="3"/>
        <v>1</v>
      </c>
      <c r="AC20" s="1630">
        <f t="shared" si="4"/>
        <v>1</v>
      </c>
      <c r="AD20" s="1552">
        <v>1</v>
      </c>
      <c r="AE20" s="1630">
        <f t="shared" si="15"/>
        <v>1</v>
      </c>
      <c r="AF20" s="1630">
        <f t="shared" si="5"/>
        <v>1</v>
      </c>
      <c r="AG20" s="1335">
        <f t="shared" si="6"/>
        <v>1</v>
      </c>
      <c r="AH20" s="1335">
        <v>1</v>
      </c>
      <c r="AI20" s="1378"/>
      <c r="AJ20" s="1378"/>
      <c r="AK20" s="1378"/>
      <c r="AL20" s="1378"/>
      <c r="AM20" s="1692">
        <f t="shared" si="7"/>
        <v>1</v>
      </c>
      <c r="AN20" s="1699">
        <f t="shared" si="8"/>
        <v>1</v>
      </c>
      <c r="AO20" s="1697">
        <v>0</v>
      </c>
      <c r="AP20" s="1699">
        <f t="shared" si="9"/>
        <v>0</v>
      </c>
      <c r="AQ20" s="1699">
        <f t="shared" si="10"/>
        <v>0</v>
      </c>
      <c r="AR20" s="1699">
        <f t="shared" si="0"/>
        <v>0</v>
      </c>
      <c r="AS20" s="1743">
        <v>0</v>
      </c>
      <c r="AT20" s="1699">
        <v>0</v>
      </c>
      <c r="AU20" s="1692"/>
      <c r="AV20" s="1958"/>
      <c r="AW20" s="2232">
        <f t="shared" si="11"/>
        <v>1</v>
      </c>
      <c r="AX20" s="2234">
        <f t="shared" si="12"/>
        <v>1</v>
      </c>
      <c r="AY20" s="2232">
        <v>1</v>
      </c>
      <c r="AZ20" s="2234">
        <v>1</v>
      </c>
      <c r="BA20" s="2234">
        <v>1</v>
      </c>
      <c r="BB20" s="2234">
        <v>1</v>
      </c>
      <c r="BC20" s="2311">
        <v>0</v>
      </c>
      <c r="BD20" s="1962" t="s">
        <v>1090</v>
      </c>
      <c r="BE20" s="1962"/>
      <c r="BF20" s="1962"/>
      <c r="BG20" s="2474">
        <f t="shared" si="13"/>
        <v>1</v>
      </c>
      <c r="BH20" s="2475">
        <f t="shared" si="14"/>
        <v>1</v>
      </c>
      <c r="BI20" s="2476">
        <v>1</v>
      </c>
      <c r="BJ20" s="2475">
        <v>1</v>
      </c>
      <c r="BK20" s="2475"/>
      <c r="BL20" s="2475">
        <f t="shared" si="16"/>
        <v>1</v>
      </c>
      <c r="BM20" s="2477"/>
      <c r="BN20" s="2475"/>
      <c r="BO20" s="2474" t="s">
        <v>3065</v>
      </c>
      <c r="BP20" s="2480"/>
    </row>
    <row r="21" spans="1:68" s="49" customFormat="1" ht="56.25" customHeight="1" thickBot="1">
      <c r="A21" s="2672"/>
      <c r="B21" s="2672"/>
      <c r="C21" s="2657"/>
      <c r="D21" s="58" t="s">
        <v>75</v>
      </c>
      <c r="E21" s="63" t="s">
        <v>76</v>
      </c>
      <c r="F21" s="52">
        <v>1</v>
      </c>
      <c r="G21" s="60" t="s">
        <v>77</v>
      </c>
      <c r="H21" s="54" t="s">
        <v>64</v>
      </c>
      <c r="I21" s="41">
        <f t="shared" si="1"/>
        <v>0.125</v>
      </c>
      <c r="J21" s="61" t="s">
        <v>78</v>
      </c>
      <c r="K21" s="62">
        <v>42024</v>
      </c>
      <c r="L21" s="62">
        <v>42035</v>
      </c>
      <c r="M21" s="57">
        <v>1</v>
      </c>
      <c r="N21" s="57"/>
      <c r="O21" s="57"/>
      <c r="P21" s="57"/>
      <c r="Q21" s="57"/>
      <c r="R21" s="57"/>
      <c r="S21" s="57"/>
      <c r="T21" s="57"/>
      <c r="U21" s="57"/>
      <c r="V21" s="57"/>
      <c r="W21" s="57"/>
      <c r="X21" s="57"/>
      <c r="Y21" s="45">
        <f t="shared" si="2"/>
        <v>1</v>
      </c>
      <c r="Z21" s="608">
        <v>0</v>
      </c>
      <c r="AA21" s="491" t="s">
        <v>1090</v>
      </c>
      <c r="AB21" s="1378">
        <f t="shared" si="3"/>
        <v>1</v>
      </c>
      <c r="AC21" s="1630">
        <f t="shared" si="4"/>
        <v>1</v>
      </c>
      <c r="AD21" s="1552">
        <v>1</v>
      </c>
      <c r="AE21" s="1630">
        <f t="shared" si="15"/>
        <v>1</v>
      </c>
      <c r="AF21" s="1630">
        <f t="shared" si="5"/>
        <v>1</v>
      </c>
      <c r="AG21" s="1335">
        <f t="shared" si="6"/>
        <v>1</v>
      </c>
      <c r="AH21" s="1335">
        <v>1</v>
      </c>
      <c r="AI21" s="1378"/>
      <c r="AJ21" s="1378"/>
      <c r="AK21" s="1378"/>
      <c r="AL21" s="1378"/>
      <c r="AM21" s="1692">
        <f t="shared" si="7"/>
        <v>1</v>
      </c>
      <c r="AN21" s="1699">
        <f t="shared" si="8"/>
        <v>1</v>
      </c>
      <c r="AO21" s="1697">
        <v>0</v>
      </c>
      <c r="AP21" s="1699">
        <f t="shared" si="9"/>
        <v>0</v>
      </c>
      <c r="AQ21" s="1699">
        <f t="shared" si="10"/>
        <v>0</v>
      </c>
      <c r="AR21" s="1699">
        <f t="shared" si="0"/>
        <v>0</v>
      </c>
      <c r="AS21" s="1743">
        <v>0</v>
      </c>
      <c r="AT21" s="1699">
        <v>0</v>
      </c>
      <c r="AU21" s="1692"/>
      <c r="AV21" s="1958"/>
      <c r="AW21" s="2232">
        <f t="shared" si="11"/>
        <v>1</v>
      </c>
      <c r="AX21" s="2234">
        <f t="shared" si="12"/>
        <v>1</v>
      </c>
      <c r="AY21" s="2232">
        <v>1</v>
      </c>
      <c r="AZ21" s="2234">
        <v>1</v>
      </c>
      <c r="BA21" s="2234">
        <v>1</v>
      </c>
      <c r="BB21" s="2234">
        <v>1</v>
      </c>
      <c r="BC21" s="2311">
        <v>0</v>
      </c>
      <c r="BD21" s="1962" t="s">
        <v>1090</v>
      </c>
      <c r="BE21" s="1962"/>
      <c r="BF21" s="1962"/>
      <c r="BG21" s="2474">
        <f t="shared" si="13"/>
        <v>1</v>
      </c>
      <c r="BH21" s="2475">
        <f t="shared" si="14"/>
        <v>1</v>
      </c>
      <c r="BI21" s="2476">
        <v>1</v>
      </c>
      <c r="BJ21" s="2475">
        <v>1</v>
      </c>
      <c r="BK21" s="2475"/>
      <c r="BL21" s="2475">
        <f t="shared" si="16"/>
        <v>1</v>
      </c>
      <c r="BM21" s="2477"/>
      <c r="BN21" s="2475"/>
      <c r="BO21" s="2474" t="s">
        <v>3065</v>
      </c>
      <c r="BP21" s="2480"/>
    </row>
    <row r="22" spans="1:68" s="49" customFormat="1" ht="56.25" customHeight="1" thickBot="1">
      <c r="A22" s="2672"/>
      <c r="B22" s="2672"/>
      <c r="C22" s="2657"/>
      <c r="D22" s="58" t="s">
        <v>79</v>
      </c>
      <c r="E22" s="63" t="s">
        <v>80</v>
      </c>
      <c r="F22" s="52">
        <v>12</v>
      </c>
      <c r="G22" s="60" t="s">
        <v>77</v>
      </c>
      <c r="H22" s="54" t="s">
        <v>64</v>
      </c>
      <c r="I22" s="41">
        <f t="shared" si="1"/>
        <v>0.125</v>
      </c>
      <c r="J22" s="61" t="s">
        <v>81</v>
      </c>
      <c r="K22" s="62">
        <v>42035</v>
      </c>
      <c r="L22" s="62">
        <v>42358</v>
      </c>
      <c r="M22" s="57">
        <v>1</v>
      </c>
      <c r="N22" s="57">
        <v>1</v>
      </c>
      <c r="O22" s="57">
        <v>1</v>
      </c>
      <c r="P22" s="57">
        <v>1</v>
      </c>
      <c r="Q22" s="57">
        <v>1</v>
      </c>
      <c r="R22" s="57">
        <v>1</v>
      </c>
      <c r="S22" s="57">
        <v>1</v>
      </c>
      <c r="T22" s="57">
        <v>1</v>
      </c>
      <c r="U22" s="57">
        <v>1</v>
      </c>
      <c r="V22" s="57">
        <v>1</v>
      </c>
      <c r="W22" s="57">
        <v>1</v>
      </c>
      <c r="X22" s="57">
        <v>1</v>
      </c>
      <c r="Y22" s="45">
        <f t="shared" si="2"/>
        <v>12</v>
      </c>
      <c r="Z22" s="608">
        <v>0</v>
      </c>
      <c r="AA22" s="491" t="s">
        <v>1090</v>
      </c>
      <c r="AB22" s="1378">
        <f t="shared" si="3"/>
        <v>2</v>
      </c>
      <c r="AC22" s="1630">
        <f t="shared" si="4"/>
        <v>1</v>
      </c>
      <c r="AD22" s="1552">
        <v>1</v>
      </c>
      <c r="AE22" s="1630">
        <f t="shared" si="15"/>
        <v>0.5</v>
      </c>
      <c r="AF22" s="1630">
        <f t="shared" si="5"/>
        <v>0.08333333333333333</v>
      </c>
      <c r="AG22" s="1335">
        <f t="shared" si="6"/>
        <v>0.08333333333333333</v>
      </c>
      <c r="AH22" s="1335">
        <v>1</v>
      </c>
      <c r="AI22" s="1378"/>
      <c r="AJ22" s="1378"/>
      <c r="AK22" s="1378"/>
      <c r="AL22" s="1378"/>
      <c r="AM22" s="1692">
        <f t="shared" si="7"/>
        <v>4</v>
      </c>
      <c r="AN22" s="1699">
        <f t="shared" si="8"/>
        <v>1</v>
      </c>
      <c r="AO22" s="1697">
        <v>4</v>
      </c>
      <c r="AP22" s="1699">
        <f t="shared" si="9"/>
        <v>1</v>
      </c>
      <c r="AQ22" s="1699">
        <f t="shared" si="10"/>
        <v>0.3333333333333333</v>
      </c>
      <c r="AR22" s="1699">
        <f t="shared" si="0"/>
        <v>1</v>
      </c>
      <c r="AS22" s="1743">
        <v>0</v>
      </c>
      <c r="AT22" s="1699">
        <v>0</v>
      </c>
      <c r="AU22" s="1692" t="s">
        <v>2371</v>
      </c>
      <c r="AV22" s="1958"/>
      <c r="AW22" s="2232">
        <f t="shared" si="11"/>
        <v>6</v>
      </c>
      <c r="AX22" s="2234">
        <f t="shared" si="12"/>
        <v>1</v>
      </c>
      <c r="AY22" s="2232">
        <v>7</v>
      </c>
      <c r="AZ22" s="2234">
        <v>1</v>
      </c>
      <c r="BA22" s="2234">
        <f>AX22/X22</f>
        <v>1</v>
      </c>
      <c r="BB22" s="2234">
        <f>AY22/Y22</f>
        <v>0.5833333333333334</v>
      </c>
      <c r="BC22" s="2311">
        <v>0</v>
      </c>
      <c r="BD22" s="1962" t="s">
        <v>1090</v>
      </c>
      <c r="BE22" s="1962" t="s">
        <v>2716</v>
      </c>
      <c r="BF22" s="1962"/>
      <c r="BG22" s="2474">
        <f t="shared" si="13"/>
        <v>8</v>
      </c>
      <c r="BH22" s="2475">
        <f t="shared" si="14"/>
        <v>1</v>
      </c>
      <c r="BI22" s="2476">
        <v>8</v>
      </c>
      <c r="BJ22" s="2475">
        <v>1</v>
      </c>
      <c r="BK22" s="2475"/>
      <c r="BL22" s="2475">
        <f t="shared" si="16"/>
        <v>0.6666666666666666</v>
      </c>
      <c r="BM22" s="2477"/>
      <c r="BN22" s="2475"/>
      <c r="BO22" s="2474" t="s">
        <v>3066</v>
      </c>
      <c r="BP22" s="2480"/>
    </row>
    <row r="23" spans="1:68" s="49" customFormat="1" ht="93" customHeight="1" thickBot="1">
      <c r="A23" s="2774"/>
      <c r="B23" s="2774"/>
      <c r="C23" s="2664"/>
      <c r="D23" s="58" t="s">
        <v>82</v>
      </c>
      <c r="E23" s="63" t="s">
        <v>76</v>
      </c>
      <c r="F23" s="52">
        <v>1</v>
      </c>
      <c r="G23" s="60" t="s">
        <v>77</v>
      </c>
      <c r="H23" s="54" t="s">
        <v>64</v>
      </c>
      <c r="I23" s="41">
        <f t="shared" si="1"/>
        <v>0.125</v>
      </c>
      <c r="J23" s="61" t="s">
        <v>83</v>
      </c>
      <c r="K23" s="62">
        <v>42358</v>
      </c>
      <c r="L23" s="56">
        <v>42369</v>
      </c>
      <c r="M23" s="57"/>
      <c r="N23" s="57"/>
      <c r="O23" s="57"/>
      <c r="P23" s="57"/>
      <c r="Q23" s="57"/>
      <c r="R23" s="57"/>
      <c r="S23" s="57"/>
      <c r="T23" s="57"/>
      <c r="U23" s="57"/>
      <c r="V23" s="57"/>
      <c r="W23" s="57"/>
      <c r="X23" s="57">
        <v>1</v>
      </c>
      <c r="Y23" s="45">
        <f t="shared" si="2"/>
        <v>1</v>
      </c>
      <c r="Z23" s="608">
        <v>0</v>
      </c>
      <c r="AA23" s="491" t="s">
        <v>1090</v>
      </c>
      <c r="AB23" s="1378">
        <f t="shared" si="3"/>
        <v>0</v>
      </c>
      <c r="AC23" s="1630">
        <f t="shared" si="4"/>
        <v>0</v>
      </c>
      <c r="AD23" s="1552">
        <v>0</v>
      </c>
      <c r="AE23" s="1630" t="s">
        <v>1090</v>
      </c>
      <c r="AF23" s="1630">
        <f t="shared" si="5"/>
        <v>0</v>
      </c>
      <c r="AG23" s="1335">
        <f t="shared" si="6"/>
        <v>0</v>
      </c>
      <c r="AH23" s="1335"/>
      <c r="AI23" s="1378"/>
      <c r="AJ23" s="1378"/>
      <c r="AK23" s="1378"/>
      <c r="AL23" s="1378"/>
      <c r="AM23" s="1692">
        <f t="shared" si="7"/>
        <v>0</v>
      </c>
      <c r="AN23" s="1699">
        <f t="shared" si="8"/>
        <v>0</v>
      </c>
      <c r="AO23" s="1697">
        <v>0</v>
      </c>
      <c r="AP23" s="1699" t="s">
        <v>1090</v>
      </c>
      <c r="AQ23" s="1699">
        <f t="shared" si="10"/>
        <v>0</v>
      </c>
      <c r="AR23" s="1699">
        <v>0</v>
      </c>
      <c r="AS23" s="1743">
        <v>0</v>
      </c>
      <c r="AT23" s="1699">
        <v>0</v>
      </c>
      <c r="AU23" s="1692"/>
      <c r="AV23" s="1958"/>
      <c r="AW23" s="2232">
        <f t="shared" si="11"/>
        <v>0</v>
      </c>
      <c r="AX23" s="2234">
        <f t="shared" si="12"/>
        <v>0</v>
      </c>
      <c r="AY23" s="2235" t="s">
        <v>1090</v>
      </c>
      <c r="AZ23" s="2236" t="s">
        <v>1090</v>
      </c>
      <c r="BA23" s="2236">
        <v>0</v>
      </c>
      <c r="BB23" s="2236">
        <v>0</v>
      </c>
      <c r="BC23" s="2311">
        <v>0</v>
      </c>
      <c r="BD23" s="1964" t="s">
        <v>1090</v>
      </c>
      <c r="BE23" s="1964"/>
      <c r="BF23" s="1964"/>
      <c r="BG23" s="2474">
        <f t="shared" si="13"/>
        <v>0</v>
      </c>
      <c r="BH23" s="2475">
        <f t="shared" si="14"/>
        <v>0</v>
      </c>
      <c r="BI23" s="2504" t="s">
        <v>1090</v>
      </c>
      <c r="BJ23" s="2475" t="s">
        <v>1090</v>
      </c>
      <c r="BK23" s="2475"/>
      <c r="BL23" s="2475">
        <v>0</v>
      </c>
      <c r="BM23" s="2477"/>
      <c r="BN23" s="2475"/>
      <c r="BO23" s="2474" t="s">
        <v>3067</v>
      </c>
      <c r="BP23" s="2480"/>
    </row>
    <row r="24" spans="1:68" s="606" customFormat="1" ht="20.1" customHeight="1" thickBot="1">
      <c r="A24" s="2652" t="s">
        <v>130</v>
      </c>
      <c r="B24" s="2653"/>
      <c r="C24" s="2653"/>
      <c r="D24" s="2654"/>
      <c r="E24" s="1757"/>
      <c r="F24" s="1757"/>
      <c r="G24" s="85"/>
      <c r="H24" s="1757"/>
      <c r="I24" s="93">
        <f>SUM(I16:I23)</f>
        <v>1</v>
      </c>
      <c r="J24" s="1757"/>
      <c r="K24" s="1757"/>
      <c r="L24" s="1757"/>
      <c r="M24" s="1757"/>
      <c r="N24" s="1757"/>
      <c r="O24" s="1757"/>
      <c r="P24" s="1757"/>
      <c r="Q24" s="1757"/>
      <c r="R24" s="1757"/>
      <c r="S24" s="1757"/>
      <c r="T24" s="1757"/>
      <c r="U24" s="1757"/>
      <c r="V24" s="1757"/>
      <c r="W24" s="1757"/>
      <c r="X24" s="1757"/>
      <c r="Y24" s="87"/>
      <c r="Z24" s="88">
        <f>SUM(Z16:Z23)</f>
        <v>0</v>
      </c>
      <c r="AA24" s="1758"/>
      <c r="AB24" s="1758"/>
      <c r="AC24" s="1351">
        <f>AVERAGEIF(AC16:AC23,"&gt;0")</f>
        <v>1</v>
      </c>
      <c r="AD24" s="1519"/>
      <c r="AE24" s="1351">
        <f>AVERAGE(AE16:AE23)</f>
        <v>0.7777777777777778</v>
      </c>
      <c r="AF24" s="1351"/>
      <c r="AG24" s="1320">
        <f>AVERAGE(AG16:AG23)</f>
        <v>0.4119318181818182</v>
      </c>
      <c r="AH24" s="1758"/>
      <c r="AI24" s="1758"/>
      <c r="AJ24" s="1758"/>
      <c r="AK24" s="1758"/>
      <c r="AL24" s="1758"/>
      <c r="AM24" s="1325"/>
      <c r="AN24" s="1875">
        <f>AVERAGEIF(AN16:AN23,"&gt;0")</f>
        <v>1</v>
      </c>
      <c r="AO24" s="1857"/>
      <c r="AP24" s="1877">
        <f>AVERAGE(AP16:AP23)</f>
        <v>0.17857142857142858</v>
      </c>
      <c r="AQ24" s="1325"/>
      <c r="AR24" s="1877">
        <f>AVERAGE(AR16:AR23)</f>
        <v>0.15625</v>
      </c>
      <c r="AS24" s="1859"/>
      <c r="AT24" s="1325"/>
      <c r="AU24" s="1325"/>
      <c r="AV24" s="1959"/>
      <c r="AW24" s="1966"/>
      <c r="AX24" s="2240">
        <v>1</v>
      </c>
      <c r="AY24" s="1967"/>
      <c r="AZ24" s="2239">
        <f>AVERAGE(AZ16:AZ23)</f>
        <v>0.8571428571428571</v>
      </c>
      <c r="BA24" s="1967"/>
      <c r="BB24" s="2237">
        <f>AVERAGE(BB16:BB23)</f>
        <v>0.6354166666666666</v>
      </c>
      <c r="BC24" s="1967"/>
      <c r="BD24" s="1967"/>
      <c r="BE24" s="1967"/>
      <c r="BF24" s="1968"/>
      <c r="BG24" s="1499"/>
      <c r="BH24" s="1498">
        <v>1</v>
      </c>
      <c r="BI24" s="1512"/>
      <c r="BJ24" s="1557">
        <f>AVERAGE(BJ16:BJ23)</f>
        <v>0.9285714285714286</v>
      </c>
      <c r="BK24" s="1325"/>
      <c r="BL24" s="2319">
        <f>AVERAGE(BL16:BL23)</f>
        <v>0.7083333333333334</v>
      </c>
      <c r="BM24" s="1859"/>
      <c r="BN24" s="1325"/>
      <c r="BO24" s="1325"/>
      <c r="BP24" s="1959"/>
    </row>
    <row r="25" spans="1:68" s="49" customFormat="1" ht="96.75" customHeight="1" thickBot="1">
      <c r="A25" s="2658">
        <v>2</v>
      </c>
      <c r="B25" s="2658" t="s">
        <v>51</v>
      </c>
      <c r="C25" s="2656" t="s">
        <v>84</v>
      </c>
      <c r="D25" s="50" t="s">
        <v>85</v>
      </c>
      <c r="E25" s="64" t="s">
        <v>86</v>
      </c>
      <c r="F25" s="64">
        <v>2</v>
      </c>
      <c r="G25" s="64" t="s">
        <v>87</v>
      </c>
      <c r="H25" s="65" t="s">
        <v>56</v>
      </c>
      <c r="I25" s="66">
        <v>0.1</v>
      </c>
      <c r="J25" s="65" t="s">
        <v>88</v>
      </c>
      <c r="K25" s="67">
        <v>42156</v>
      </c>
      <c r="L25" s="68">
        <v>42369</v>
      </c>
      <c r="M25" s="69"/>
      <c r="N25" s="70"/>
      <c r="O25" s="70"/>
      <c r="P25" s="70"/>
      <c r="Q25" s="70"/>
      <c r="R25" s="70">
        <v>1</v>
      </c>
      <c r="S25" s="70"/>
      <c r="T25" s="71"/>
      <c r="U25" s="72"/>
      <c r="V25" s="73"/>
      <c r="W25" s="73"/>
      <c r="X25" s="73">
        <v>1</v>
      </c>
      <c r="Y25" s="74">
        <f>SUM(M25:X25)</f>
        <v>2</v>
      </c>
      <c r="Z25" s="75">
        <v>0</v>
      </c>
      <c r="AA25" s="491" t="s">
        <v>1090</v>
      </c>
      <c r="AB25" s="1378">
        <f t="shared" si="3"/>
        <v>0</v>
      </c>
      <c r="AC25" s="1630">
        <f t="shared" si="4"/>
        <v>0</v>
      </c>
      <c r="AD25" s="1552">
        <v>0</v>
      </c>
      <c r="AE25" s="1630" t="s">
        <v>1090</v>
      </c>
      <c r="AF25" s="1630">
        <f>AD25/Y25</f>
        <v>0</v>
      </c>
      <c r="AG25" s="1335">
        <f>AF25</f>
        <v>0</v>
      </c>
      <c r="AH25" s="1335"/>
      <c r="AI25" s="1378"/>
      <c r="AJ25" s="1371"/>
      <c r="AK25" s="1378"/>
      <c r="AL25" s="1378"/>
      <c r="AM25" s="1692">
        <f>SUM(M25:P25)</f>
        <v>0</v>
      </c>
      <c r="AN25" s="1699">
        <f t="shared" si="8"/>
        <v>0</v>
      </c>
      <c r="AO25" s="1697">
        <v>0</v>
      </c>
      <c r="AP25" s="1699" t="s">
        <v>1090</v>
      </c>
      <c r="AQ25" s="1699">
        <f t="shared" si="10"/>
        <v>0</v>
      </c>
      <c r="AR25" s="1699">
        <v>0</v>
      </c>
      <c r="AS25" s="1743">
        <v>0</v>
      </c>
      <c r="AT25" s="1699">
        <v>0</v>
      </c>
      <c r="AU25" s="1692"/>
      <c r="AV25" s="1958"/>
      <c r="AW25" s="2231">
        <f>SUM(M25:R25)</f>
        <v>1</v>
      </c>
      <c r="AX25" s="2233">
        <f t="shared" si="12"/>
        <v>1</v>
      </c>
      <c r="AY25" s="2231">
        <v>0</v>
      </c>
      <c r="AZ25" s="2233">
        <v>0</v>
      </c>
      <c r="BA25" s="2233">
        <v>0</v>
      </c>
      <c r="BB25" s="2233">
        <v>0</v>
      </c>
      <c r="BC25" s="2312">
        <v>0</v>
      </c>
      <c r="BD25" s="1965" t="s">
        <v>1090</v>
      </c>
      <c r="BE25" s="1965" t="s">
        <v>2718</v>
      </c>
      <c r="BF25" s="1965" t="s">
        <v>2719</v>
      </c>
      <c r="BG25" s="2474">
        <f>SUM(M25:T25)</f>
        <v>1</v>
      </c>
      <c r="BH25" s="2475">
        <f t="shared" si="14"/>
        <v>1</v>
      </c>
      <c r="BI25" s="2476">
        <v>0</v>
      </c>
      <c r="BJ25" s="2475">
        <v>0</v>
      </c>
      <c r="BK25" s="2475"/>
      <c r="BL25" s="2475">
        <f>BI25/Y25</f>
        <v>0</v>
      </c>
      <c r="BM25" s="2477"/>
      <c r="BN25" s="2475"/>
      <c r="BO25" s="2474" t="s">
        <v>3131</v>
      </c>
      <c r="BP25" s="2480"/>
    </row>
    <row r="26" spans="1:68" s="49" customFormat="1" ht="77.25" thickBot="1">
      <c r="A26" s="2655"/>
      <c r="B26" s="2655"/>
      <c r="C26" s="2657"/>
      <c r="D26" s="50" t="s">
        <v>89</v>
      </c>
      <c r="E26" s="64" t="s">
        <v>90</v>
      </c>
      <c r="F26" s="64">
        <v>1</v>
      </c>
      <c r="G26" s="64" t="s">
        <v>91</v>
      </c>
      <c r="H26" s="65" t="s">
        <v>56</v>
      </c>
      <c r="I26" s="66">
        <v>0.1</v>
      </c>
      <c r="J26" s="65" t="s">
        <v>92</v>
      </c>
      <c r="K26" s="67">
        <v>42036</v>
      </c>
      <c r="L26" s="68">
        <v>42063</v>
      </c>
      <c r="M26" s="69"/>
      <c r="N26" s="70">
        <v>1</v>
      </c>
      <c r="O26" s="70"/>
      <c r="P26" s="70"/>
      <c r="Q26" s="70"/>
      <c r="R26" s="70"/>
      <c r="S26" s="70"/>
      <c r="T26" s="71"/>
      <c r="U26" s="72"/>
      <c r="V26" s="73"/>
      <c r="W26" s="73"/>
      <c r="X26" s="73"/>
      <c r="Y26" s="74">
        <f aca="true" t="shared" si="17" ref="Y26:Y34">SUM(M26:X26)</f>
        <v>1</v>
      </c>
      <c r="Z26" s="75">
        <v>0</v>
      </c>
      <c r="AA26" s="491" t="s">
        <v>1090</v>
      </c>
      <c r="AB26" s="1378">
        <f t="shared" si="3"/>
        <v>1</v>
      </c>
      <c r="AC26" s="1630">
        <f t="shared" si="4"/>
        <v>1</v>
      </c>
      <c r="AD26" s="1552">
        <v>0</v>
      </c>
      <c r="AE26" s="1630">
        <f aca="true" t="shared" si="18" ref="AE26:AE33">AD26/AB26</f>
        <v>0</v>
      </c>
      <c r="AF26" s="1630">
        <f aca="true" t="shared" si="19" ref="AF26:AF34">AD26/Y26</f>
        <v>0</v>
      </c>
      <c r="AG26" s="1335">
        <f aca="true" t="shared" si="20" ref="AG26:AG34">AF26</f>
        <v>0</v>
      </c>
      <c r="AH26" s="1335"/>
      <c r="AI26" s="1378"/>
      <c r="AJ26" s="1371"/>
      <c r="AK26" s="1378"/>
      <c r="AL26" s="1378"/>
      <c r="AM26" s="1692">
        <f aca="true" t="shared" si="21" ref="AM26:AM34">SUM(M26:P26)</f>
        <v>1</v>
      </c>
      <c r="AN26" s="1699">
        <f t="shared" si="8"/>
        <v>1</v>
      </c>
      <c r="AO26" s="1697">
        <v>0</v>
      </c>
      <c r="AP26" s="1699">
        <f t="shared" si="9"/>
        <v>0</v>
      </c>
      <c r="AQ26" s="1699">
        <f t="shared" si="10"/>
        <v>0</v>
      </c>
      <c r="AR26" s="1699">
        <f t="shared" si="0"/>
        <v>0</v>
      </c>
      <c r="AS26" s="1743">
        <v>0</v>
      </c>
      <c r="AT26" s="1699">
        <v>0</v>
      </c>
      <c r="AU26" s="1692"/>
      <c r="AV26" s="1958" t="s">
        <v>2372</v>
      </c>
      <c r="AW26" s="2231">
        <f aca="true" t="shared" si="22" ref="AW26:AW34">SUM(M26:R26)</f>
        <v>1</v>
      </c>
      <c r="AX26" s="2233">
        <f t="shared" si="12"/>
        <v>1</v>
      </c>
      <c r="AY26" s="2232">
        <v>1</v>
      </c>
      <c r="AZ26" s="2234">
        <v>1</v>
      </c>
      <c r="BA26" s="2234">
        <v>1</v>
      </c>
      <c r="BB26" s="2234">
        <v>1</v>
      </c>
      <c r="BC26" s="2312">
        <v>0</v>
      </c>
      <c r="BD26" s="1962" t="s">
        <v>1090</v>
      </c>
      <c r="BE26" s="1962" t="s">
        <v>2720</v>
      </c>
      <c r="BF26" s="1962"/>
      <c r="BG26" s="2474">
        <f aca="true" t="shared" si="23" ref="BG26:BG34">SUM(M26:T26)</f>
        <v>1</v>
      </c>
      <c r="BH26" s="2475">
        <f t="shared" si="14"/>
        <v>1</v>
      </c>
      <c r="BI26" s="2476">
        <v>1</v>
      </c>
      <c r="BJ26" s="2475">
        <v>1</v>
      </c>
      <c r="BK26" s="2475"/>
      <c r="BL26" s="2475">
        <f aca="true" t="shared" si="24" ref="BL26:BL34">BI26/Y26</f>
        <v>1</v>
      </c>
      <c r="BM26" s="2477"/>
      <c r="BN26" s="2475"/>
      <c r="BO26" s="2474" t="s">
        <v>3068</v>
      </c>
      <c r="BP26" s="2480"/>
    </row>
    <row r="27" spans="1:68" s="49" customFormat="1" ht="46.5" customHeight="1" thickBot="1">
      <c r="A27" s="2655"/>
      <c r="B27" s="2655"/>
      <c r="C27" s="2664"/>
      <c r="D27" s="50" t="s">
        <v>93</v>
      </c>
      <c r="E27" s="64" t="s">
        <v>94</v>
      </c>
      <c r="F27" s="64">
        <v>2</v>
      </c>
      <c r="G27" s="64" t="s">
        <v>95</v>
      </c>
      <c r="H27" s="65" t="s">
        <v>56</v>
      </c>
      <c r="I27" s="66">
        <v>0.1</v>
      </c>
      <c r="J27" s="65" t="s">
        <v>96</v>
      </c>
      <c r="K27" s="67">
        <v>42064</v>
      </c>
      <c r="L27" s="68">
        <v>42247</v>
      </c>
      <c r="M27" s="69"/>
      <c r="N27" s="70"/>
      <c r="O27" s="70">
        <v>1</v>
      </c>
      <c r="P27" s="70"/>
      <c r="Q27" s="70"/>
      <c r="R27" s="70"/>
      <c r="S27" s="70"/>
      <c r="T27" s="71">
        <v>1</v>
      </c>
      <c r="U27" s="72"/>
      <c r="V27" s="73"/>
      <c r="W27" s="73"/>
      <c r="X27" s="73"/>
      <c r="Y27" s="74">
        <f t="shared" si="17"/>
        <v>2</v>
      </c>
      <c r="Z27" s="75">
        <v>0</v>
      </c>
      <c r="AA27" s="491" t="s">
        <v>1090</v>
      </c>
      <c r="AB27" s="1378">
        <f t="shared" si="3"/>
        <v>0</v>
      </c>
      <c r="AC27" s="1630">
        <f t="shared" si="4"/>
        <v>0</v>
      </c>
      <c r="AD27" s="1552">
        <v>0</v>
      </c>
      <c r="AE27" s="1630" t="s">
        <v>1090</v>
      </c>
      <c r="AF27" s="1630">
        <f t="shared" si="19"/>
        <v>0</v>
      </c>
      <c r="AG27" s="1335">
        <f t="shared" si="20"/>
        <v>0</v>
      </c>
      <c r="AH27" s="1335"/>
      <c r="AI27" s="1378"/>
      <c r="AJ27" s="1371"/>
      <c r="AK27" s="1378"/>
      <c r="AL27" s="1378"/>
      <c r="AM27" s="1692">
        <f t="shared" si="21"/>
        <v>1</v>
      </c>
      <c r="AN27" s="1699">
        <f t="shared" si="8"/>
        <v>1</v>
      </c>
      <c r="AO27" s="1697">
        <v>0</v>
      </c>
      <c r="AP27" s="1699">
        <f t="shared" si="9"/>
        <v>0</v>
      </c>
      <c r="AQ27" s="1699">
        <f t="shared" si="10"/>
        <v>0</v>
      </c>
      <c r="AR27" s="1699">
        <f t="shared" si="0"/>
        <v>0</v>
      </c>
      <c r="AS27" s="1743">
        <v>0</v>
      </c>
      <c r="AT27" s="1699">
        <v>0</v>
      </c>
      <c r="AU27" s="1692"/>
      <c r="AV27" s="1958" t="s">
        <v>2373</v>
      </c>
      <c r="AW27" s="2231">
        <f t="shared" si="22"/>
        <v>1</v>
      </c>
      <c r="AX27" s="2233">
        <f t="shared" si="12"/>
        <v>1</v>
      </c>
      <c r="AY27" s="2232">
        <v>0</v>
      </c>
      <c r="AZ27" s="2234">
        <v>0</v>
      </c>
      <c r="BA27" s="2234">
        <v>0</v>
      </c>
      <c r="BB27" s="2234">
        <v>0</v>
      </c>
      <c r="BC27" s="2312">
        <v>0</v>
      </c>
      <c r="BD27" s="1962" t="s">
        <v>1090</v>
      </c>
      <c r="BE27" s="1962" t="s">
        <v>2721</v>
      </c>
      <c r="BF27" s="1962"/>
      <c r="BG27" s="2474">
        <f t="shared" si="23"/>
        <v>2</v>
      </c>
      <c r="BH27" s="2475">
        <f t="shared" si="14"/>
        <v>1</v>
      </c>
      <c r="BI27" s="2476">
        <v>1</v>
      </c>
      <c r="BJ27" s="2475">
        <v>0.5</v>
      </c>
      <c r="BK27" s="2475"/>
      <c r="BL27" s="2475">
        <f t="shared" si="24"/>
        <v>0.5</v>
      </c>
      <c r="BM27" s="2477"/>
      <c r="BN27" s="2475"/>
      <c r="BO27" s="2474" t="s">
        <v>3069</v>
      </c>
      <c r="BP27" s="2480"/>
    </row>
    <row r="28" spans="1:68" s="49" customFormat="1" ht="63.75" customHeight="1" thickBot="1">
      <c r="A28" s="2655"/>
      <c r="B28" s="2689"/>
      <c r="C28" s="2904" t="s">
        <v>97</v>
      </c>
      <c r="D28" s="76" t="s">
        <v>98</v>
      </c>
      <c r="E28" s="77" t="s">
        <v>99</v>
      </c>
      <c r="F28" s="77" t="s">
        <v>100</v>
      </c>
      <c r="G28" s="78" t="s">
        <v>101</v>
      </c>
      <c r="H28" s="65" t="s">
        <v>102</v>
      </c>
      <c r="I28" s="66">
        <v>0.1</v>
      </c>
      <c r="J28" s="65" t="s">
        <v>103</v>
      </c>
      <c r="K28" s="67">
        <v>42035</v>
      </c>
      <c r="L28" s="79">
        <v>42369</v>
      </c>
      <c r="M28" s="80"/>
      <c r="N28" s="80"/>
      <c r="O28" s="80"/>
      <c r="P28" s="80"/>
      <c r="Q28" s="80"/>
      <c r="R28" s="80"/>
      <c r="S28" s="80"/>
      <c r="T28" s="80"/>
      <c r="U28" s="81"/>
      <c r="V28" s="81"/>
      <c r="W28" s="81"/>
      <c r="X28" s="81"/>
      <c r="Y28" s="74">
        <f t="shared" si="17"/>
        <v>0</v>
      </c>
      <c r="Z28" s="75">
        <v>0</v>
      </c>
      <c r="AA28" s="491" t="s">
        <v>1090</v>
      </c>
      <c r="AB28" s="1378">
        <f t="shared" si="3"/>
        <v>0</v>
      </c>
      <c r="AC28" s="1630">
        <f t="shared" si="4"/>
        <v>0</v>
      </c>
      <c r="AD28" s="1552">
        <v>0</v>
      </c>
      <c r="AE28" s="1630" t="s">
        <v>1090</v>
      </c>
      <c r="AF28" s="1630" t="s">
        <v>1090</v>
      </c>
      <c r="AG28" s="1335" t="str">
        <f t="shared" si="20"/>
        <v>-</v>
      </c>
      <c r="AH28" s="1335"/>
      <c r="AI28" s="1378"/>
      <c r="AJ28" s="1371"/>
      <c r="AK28" s="1378"/>
      <c r="AL28" s="1378"/>
      <c r="AM28" s="1692">
        <f t="shared" si="21"/>
        <v>0</v>
      </c>
      <c r="AN28" s="1699">
        <f t="shared" si="8"/>
        <v>0</v>
      </c>
      <c r="AO28" s="1697">
        <v>0</v>
      </c>
      <c r="AP28" s="1699" t="s">
        <v>1090</v>
      </c>
      <c r="AQ28" s="1699" t="e">
        <f t="shared" si="10"/>
        <v>#DIV/0!</v>
      </c>
      <c r="AR28" s="1699" t="s">
        <v>1090</v>
      </c>
      <c r="AS28" s="1743">
        <v>0</v>
      </c>
      <c r="AT28" s="1699">
        <v>0</v>
      </c>
      <c r="AU28" s="1692"/>
      <c r="AV28" s="1958"/>
      <c r="AW28" s="2231">
        <f t="shared" si="22"/>
        <v>0</v>
      </c>
      <c r="AX28" s="2233">
        <f t="shared" si="12"/>
        <v>0</v>
      </c>
      <c r="AY28" s="2232" t="s">
        <v>1090</v>
      </c>
      <c r="AZ28" s="2234" t="s">
        <v>1090</v>
      </c>
      <c r="BA28" s="2234" t="s">
        <v>1090</v>
      </c>
      <c r="BB28" s="2234" t="s">
        <v>1090</v>
      </c>
      <c r="BC28" s="2312">
        <v>0</v>
      </c>
      <c r="BD28" s="1962" t="s">
        <v>1090</v>
      </c>
      <c r="BE28" s="1962"/>
      <c r="BF28" s="1962"/>
      <c r="BG28" s="2474">
        <f t="shared" si="23"/>
        <v>0</v>
      </c>
      <c r="BH28" s="2475">
        <f t="shared" si="14"/>
        <v>0</v>
      </c>
      <c r="BI28" s="2476" t="s">
        <v>1090</v>
      </c>
      <c r="BJ28" s="2475" t="s">
        <v>1090</v>
      </c>
      <c r="BK28" s="2475"/>
      <c r="BL28" s="2475" t="s">
        <v>1090</v>
      </c>
      <c r="BM28" s="2477"/>
      <c r="BN28" s="2475"/>
      <c r="BO28" s="2474" t="s">
        <v>3070</v>
      </c>
      <c r="BP28" s="2480"/>
    </row>
    <row r="29" spans="1:68" s="49" customFormat="1" ht="64.5" thickBot="1">
      <c r="A29" s="2655"/>
      <c r="B29" s="2689"/>
      <c r="C29" s="2905"/>
      <c r="D29" s="76" t="s">
        <v>104</v>
      </c>
      <c r="E29" s="77" t="s">
        <v>105</v>
      </c>
      <c r="F29" s="77">
        <v>2</v>
      </c>
      <c r="G29" s="78" t="s">
        <v>106</v>
      </c>
      <c r="H29" s="65" t="s">
        <v>107</v>
      </c>
      <c r="I29" s="66">
        <v>0.1</v>
      </c>
      <c r="J29" s="65" t="s">
        <v>108</v>
      </c>
      <c r="K29" s="67">
        <v>42156</v>
      </c>
      <c r="L29" s="79">
        <v>42338</v>
      </c>
      <c r="M29" s="80"/>
      <c r="N29" s="80"/>
      <c r="O29" s="80"/>
      <c r="P29" s="80"/>
      <c r="Q29" s="80"/>
      <c r="R29" s="80">
        <v>1</v>
      </c>
      <c r="S29" s="80"/>
      <c r="T29" s="80"/>
      <c r="U29" s="81"/>
      <c r="V29" s="81"/>
      <c r="W29" s="81">
        <v>1</v>
      </c>
      <c r="X29" s="81"/>
      <c r="Y29" s="74">
        <f t="shared" si="17"/>
        <v>2</v>
      </c>
      <c r="Z29" s="75">
        <v>0</v>
      </c>
      <c r="AA29" s="491" t="s">
        <v>1090</v>
      </c>
      <c r="AB29" s="1378">
        <f t="shared" si="3"/>
        <v>0</v>
      </c>
      <c r="AC29" s="1630">
        <f t="shared" si="4"/>
        <v>0</v>
      </c>
      <c r="AD29" s="1552">
        <v>0</v>
      </c>
      <c r="AE29" s="1630" t="s">
        <v>1090</v>
      </c>
      <c r="AF29" s="1630">
        <f t="shared" si="19"/>
        <v>0</v>
      </c>
      <c r="AG29" s="1335">
        <f t="shared" si="20"/>
        <v>0</v>
      </c>
      <c r="AH29" s="1335"/>
      <c r="AI29" s="1378"/>
      <c r="AJ29" s="1371"/>
      <c r="AK29" s="1378"/>
      <c r="AL29" s="1378"/>
      <c r="AM29" s="1692">
        <f t="shared" si="21"/>
        <v>0</v>
      </c>
      <c r="AN29" s="1699">
        <f t="shared" si="8"/>
        <v>0</v>
      </c>
      <c r="AO29" s="1697">
        <v>0</v>
      </c>
      <c r="AP29" s="1699" t="s">
        <v>1090</v>
      </c>
      <c r="AQ29" s="1699">
        <f t="shared" si="10"/>
        <v>0</v>
      </c>
      <c r="AR29" s="1699">
        <v>0</v>
      </c>
      <c r="AS29" s="1743">
        <v>0</v>
      </c>
      <c r="AT29" s="1699">
        <v>0</v>
      </c>
      <c r="AU29" s="1692"/>
      <c r="AV29" s="1958"/>
      <c r="AW29" s="2231">
        <f t="shared" si="22"/>
        <v>1</v>
      </c>
      <c r="AX29" s="2233">
        <f t="shared" si="12"/>
        <v>1</v>
      </c>
      <c r="AY29" s="2232">
        <v>1</v>
      </c>
      <c r="AZ29" s="2234">
        <v>1</v>
      </c>
      <c r="BA29" s="2234">
        <v>0.5</v>
      </c>
      <c r="BB29" s="2234">
        <v>0.5</v>
      </c>
      <c r="BC29" s="2312">
        <v>0</v>
      </c>
      <c r="BD29" s="1962" t="s">
        <v>1090</v>
      </c>
      <c r="BE29" s="1962" t="s">
        <v>2722</v>
      </c>
      <c r="BF29" s="1962"/>
      <c r="BG29" s="2474">
        <f t="shared" si="23"/>
        <v>1</v>
      </c>
      <c r="BH29" s="2475">
        <f t="shared" si="14"/>
        <v>1</v>
      </c>
      <c r="BI29" s="2476">
        <v>1</v>
      </c>
      <c r="BJ29" s="2475">
        <v>1</v>
      </c>
      <c r="BK29" s="2475"/>
      <c r="BL29" s="2475">
        <f t="shared" si="24"/>
        <v>0.5</v>
      </c>
      <c r="BM29" s="2477"/>
      <c r="BN29" s="2475"/>
      <c r="BO29" s="2474"/>
      <c r="BP29" s="2480"/>
    </row>
    <row r="30" spans="1:68" s="49" customFormat="1" ht="76.5" customHeight="1" thickBot="1">
      <c r="A30" s="2655"/>
      <c r="B30" s="2689"/>
      <c r="C30" s="2905"/>
      <c r="D30" s="76" t="s">
        <v>109</v>
      </c>
      <c r="E30" s="77" t="s">
        <v>110</v>
      </c>
      <c r="F30" s="77">
        <v>2</v>
      </c>
      <c r="G30" s="78" t="s">
        <v>111</v>
      </c>
      <c r="H30" s="65" t="s">
        <v>107</v>
      </c>
      <c r="I30" s="66">
        <v>0.1</v>
      </c>
      <c r="J30" s="65" t="s">
        <v>112</v>
      </c>
      <c r="K30" s="67">
        <v>42156</v>
      </c>
      <c r="L30" s="79">
        <v>42338</v>
      </c>
      <c r="M30" s="80"/>
      <c r="N30" s="80"/>
      <c r="O30" s="80"/>
      <c r="P30" s="80"/>
      <c r="Q30" s="80"/>
      <c r="R30" s="80">
        <v>1</v>
      </c>
      <c r="S30" s="80"/>
      <c r="T30" s="80"/>
      <c r="U30" s="81"/>
      <c r="V30" s="81"/>
      <c r="W30" s="81">
        <v>1</v>
      </c>
      <c r="X30" s="81"/>
      <c r="Y30" s="74">
        <f t="shared" si="17"/>
        <v>2</v>
      </c>
      <c r="Z30" s="75">
        <v>0</v>
      </c>
      <c r="AA30" s="491" t="s">
        <v>1090</v>
      </c>
      <c r="AB30" s="1378">
        <f t="shared" si="3"/>
        <v>0</v>
      </c>
      <c r="AC30" s="1630">
        <f t="shared" si="4"/>
        <v>0</v>
      </c>
      <c r="AD30" s="1552">
        <v>0</v>
      </c>
      <c r="AE30" s="1630" t="s">
        <v>1090</v>
      </c>
      <c r="AF30" s="1630">
        <f t="shared" si="19"/>
        <v>0</v>
      </c>
      <c r="AG30" s="1335">
        <f t="shared" si="20"/>
        <v>0</v>
      </c>
      <c r="AH30" s="1335"/>
      <c r="AI30" s="1378"/>
      <c r="AJ30" s="1371"/>
      <c r="AK30" s="1378"/>
      <c r="AL30" s="1378"/>
      <c r="AM30" s="1692">
        <f t="shared" si="21"/>
        <v>0</v>
      </c>
      <c r="AN30" s="1699">
        <f t="shared" si="8"/>
        <v>0</v>
      </c>
      <c r="AO30" s="1697">
        <v>0</v>
      </c>
      <c r="AP30" s="1699" t="s">
        <v>1090</v>
      </c>
      <c r="AQ30" s="1699">
        <f t="shared" si="10"/>
        <v>0</v>
      </c>
      <c r="AR30" s="1699">
        <v>0</v>
      </c>
      <c r="AS30" s="1743">
        <v>0</v>
      </c>
      <c r="AT30" s="1699">
        <v>0</v>
      </c>
      <c r="AU30" s="1692"/>
      <c r="AV30" s="1958"/>
      <c r="AW30" s="2231">
        <f t="shared" si="22"/>
        <v>1</v>
      </c>
      <c r="AX30" s="2233">
        <f t="shared" si="12"/>
        <v>1</v>
      </c>
      <c r="AY30" s="2232">
        <v>1</v>
      </c>
      <c r="AZ30" s="2234">
        <v>1</v>
      </c>
      <c r="BA30" s="2234">
        <v>0.5</v>
      </c>
      <c r="BB30" s="2234">
        <v>0.5</v>
      </c>
      <c r="BC30" s="2312">
        <v>0</v>
      </c>
      <c r="BD30" s="1962" t="s">
        <v>1090</v>
      </c>
      <c r="BE30" s="1962"/>
      <c r="BF30" s="1962"/>
      <c r="BG30" s="2474">
        <f t="shared" si="23"/>
        <v>1</v>
      </c>
      <c r="BH30" s="2475">
        <f t="shared" si="14"/>
        <v>1</v>
      </c>
      <c r="BI30" s="2476">
        <v>1</v>
      </c>
      <c r="BJ30" s="2475">
        <v>1</v>
      </c>
      <c r="BK30" s="2475"/>
      <c r="BL30" s="2475">
        <f t="shared" si="24"/>
        <v>0.5</v>
      </c>
      <c r="BM30" s="2477"/>
      <c r="BN30" s="2475"/>
      <c r="BO30" s="2474"/>
      <c r="BP30" s="2480"/>
    </row>
    <row r="31" spans="1:68" s="49" customFormat="1" ht="125.25" customHeight="1" thickBot="1">
      <c r="A31" s="2655"/>
      <c r="B31" s="2689"/>
      <c r="C31" s="2906"/>
      <c r="D31" s="76" t="s">
        <v>113</v>
      </c>
      <c r="E31" s="77" t="s">
        <v>114</v>
      </c>
      <c r="F31" s="77">
        <v>12</v>
      </c>
      <c r="G31" s="78" t="s">
        <v>115</v>
      </c>
      <c r="H31" s="65" t="s">
        <v>107</v>
      </c>
      <c r="I31" s="66">
        <v>0.1</v>
      </c>
      <c r="J31" s="65" t="s">
        <v>116</v>
      </c>
      <c r="K31" s="67">
        <v>42036</v>
      </c>
      <c r="L31" s="79">
        <v>42347</v>
      </c>
      <c r="M31" s="80"/>
      <c r="N31" s="80">
        <v>1</v>
      </c>
      <c r="O31" s="80">
        <v>1</v>
      </c>
      <c r="P31" s="80">
        <v>1</v>
      </c>
      <c r="Q31" s="80">
        <v>1</v>
      </c>
      <c r="R31" s="80">
        <v>1</v>
      </c>
      <c r="S31" s="80">
        <v>1</v>
      </c>
      <c r="T31" s="80">
        <v>1</v>
      </c>
      <c r="U31" s="81">
        <v>1</v>
      </c>
      <c r="V31" s="81">
        <v>1</v>
      </c>
      <c r="W31" s="81">
        <v>1</v>
      </c>
      <c r="X31" s="81">
        <v>1</v>
      </c>
      <c r="Y31" s="74">
        <f t="shared" si="17"/>
        <v>11</v>
      </c>
      <c r="Z31" s="75">
        <v>0</v>
      </c>
      <c r="AA31" s="491" t="s">
        <v>1090</v>
      </c>
      <c r="AB31" s="1378">
        <f t="shared" si="3"/>
        <v>1</v>
      </c>
      <c r="AC31" s="1630">
        <f t="shared" si="4"/>
        <v>1</v>
      </c>
      <c r="AD31" s="1552">
        <v>0</v>
      </c>
      <c r="AE31" s="1630">
        <f t="shared" si="18"/>
        <v>0</v>
      </c>
      <c r="AF31" s="1630">
        <f t="shared" si="19"/>
        <v>0</v>
      </c>
      <c r="AG31" s="1335">
        <f t="shared" si="20"/>
        <v>0</v>
      </c>
      <c r="AH31" s="1335"/>
      <c r="AI31" s="1378"/>
      <c r="AJ31" s="1371"/>
      <c r="AK31" s="1378"/>
      <c r="AL31" s="1378"/>
      <c r="AM31" s="1692">
        <f t="shared" si="21"/>
        <v>3</v>
      </c>
      <c r="AN31" s="1699">
        <f t="shared" si="8"/>
        <v>1</v>
      </c>
      <c r="AO31" s="1697">
        <v>3</v>
      </c>
      <c r="AP31" s="1699">
        <f t="shared" si="9"/>
        <v>1</v>
      </c>
      <c r="AQ31" s="1699">
        <f t="shared" si="10"/>
        <v>0.2727272727272727</v>
      </c>
      <c r="AR31" s="1699">
        <f t="shared" si="0"/>
        <v>1</v>
      </c>
      <c r="AS31" s="1743">
        <v>0</v>
      </c>
      <c r="AT31" s="1699">
        <v>0</v>
      </c>
      <c r="AU31" s="1692" t="s">
        <v>2374</v>
      </c>
      <c r="AV31" s="1958"/>
      <c r="AW31" s="2231">
        <f t="shared" si="22"/>
        <v>5</v>
      </c>
      <c r="AX31" s="2233">
        <f t="shared" si="12"/>
        <v>1</v>
      </c>
      <c r="AY31" s="2232">
        <v>5</v>
      </c>
      <c r="AZ31" s="2234">
        <v>1</v>
      </c>
      <c r="BA31" s="2234">
        <f>AX31/X31</f>
        <v>1</v>
      </c>
      <c r="BB31" s="2234">
        <f>AY31/Y31</f>
        <v>0.45454545454545453</v>
      </c>
      <c r="BC31" s="2312">
        <v>0</v>
      </c>
      <c r="BD31" s="1962" t="s">
        <v>1090</v>
      </c>
      <c r="BE31" s="1962" t="s">
        <v>2723</v>
      </c>
      <c r="BF31" s="1962"/>
      <c r="BG31" s="2474">
        <f t="shared" si="23"/>
        <v>7</v>
      </c>
      <c r="BH31" s="2475">
        <f t="shared" si="14"/>
        <v>1</v>
      </c>
      <c r="BI31" s="2476">
        <v>8</v>
      </c>
      <c r="BJ31" s="2475">
        <v>1</v>
      </c>
      <c r="BK31" s="2475"/>
      <c r="BL31" s="2475">
        <f t="shared" si="24"/>
        <v>0.7272727272727273</v>
      </c>
      <c r="BM31" s="2477"/>
      <c r="BN31" s="2475"/>
      <c r="BO31" s="2474" t="s">
        <v>3071</v>
      </c>
      <c r="BP31" s="2480"/>
    </row>
    <row r="32" spans="1:68" s="49" customFormat="1" ht="64.5" customHeight="1" thickBot="1">
      <c r="A32" s="2655"/>
      <c r="B32" s="2655"/>
      <c r="C32" s="2657" t="s">
        <v>117</v>
      </c>
      <c r="D32" s="82" t="s">
        <v>118</v>
      </c>
      <c r="E32" s="77" t="s">
        <v>119</v>
      </c>
      <c r="F32" s="77" t="s">
        <v>100</v>
      </c>
      <c r="G32" s="78" t="s">
        <v>120</v>
      </c>
      <c r="H32" s="65" t="s">
        <v>102</v>
      </c>
      <c r="I32" s="66">
        <v>0.1</v>
      </c>
      <c r="J32" s="65" t="s">
        <v>121</v>
      </c>
      <c r="K32" s="67">
        <v>42005</v>
      </c>
      <c r="L32" s="79">
        <v>42369</v>
      </c>
      <c r="M32" s="80">
        <v>1</v>
      </c>
      <c r="N32" s="80">
        <v>1</v>
      </c>
      <c r="O32" s="80">
        <v>1</v>
      </c>
      <c r="P32" s="80">
        <v>1</v>
      </c>
      <c r="Q32" s="80">
        <v>1</v>
      </c>
      <c r="R32" s="80">
        <v>1</v>
      </c>
      <c r="S32" s="80">
        <v>1</v>
      </c>
      <c r="T32" s="80">
        <v>1</v>
      </c>
      <c r="U32" s="81">
        <v>1</v>
      </c>
      <c r="V32" s="81">
        <v>1</v>
      </c>
      <c r="W32" s="81">
        <v>1</v>
      </c>
      <c r="X32" s="81">
        <v>1</v>
      </c>
      <c r="Y32" s="74">
        <f t="shared" si="17"/>
        <v>12</v>
      </c>
      <c r="Z32" s="75">
        <v>0</v>
      </c>
      <c r="AA32" s="491" t="s">
        <v>1090</v>
      </c>
      <c r="AB32" s="1378">
        <f t="shared" si="3"/>
        <v>2</v>
      </c>
      <c r="AC32" s="1630">
        <f t="shared" si="4"/>
        <v>1</v>
      </c>
      <c r="AD32" s="1552">
        <v>0</v>
      </c>
      <c r="AE32" s="1630">
        <f t="shared" si="18"/>
        <v>0</v>
      </c>
      <c r="AF32" s="1630">
        <f t="shared" si="19"/>
        <v>0</v>
      </c>
      <c r="AG32" s="1335">
        <f t="shared" si="20"/>
        <v>0</v>
      </c>
      <c r="AH32" s="1335"/>
      <c r="AI32" s="1378"/>
      <c r="AJ32" s="1371"/>
      <c r="AK32" s="1378"/>
      <c r="AL32" s="1378"/>
      <c r="AM32" s="1692">
        <f t="shared" si="21"/>
        <v>4</v>
      </c>
      <c r="AN32" s="1699">
        <f t="shared" si="8"/>
        <v>1</v>
      </c>
      <c r="AO32" s="1697">
        <v>4</v>
      </c>
      <c r="AP32" s="1699">
        <f t="shared" si="9"/>
        <v>1</v>
      </c>
      <c r="AQ32" s="1699">
        <f t="shared" si="10"/>
        <v>0.3333333333333333</v>
      </c>
      <c r="AR32" s="1699">
        <f t="shared" si="0"/>
        <v>1</v>
      </c>
      <c r="AS32" s="1743">
        <v>0</v>
      </c>
      <c r="AT32" s="1699">
        <v>0</v>
      </c>
      <c r="AU32" s="1692" t="s">
        <v>2375</v>
      </c>
      <c r="AV32" s="1958"/>
      <c r="AW32" s="2231">
        <f t="shared" si="22"/>
        <v>6</v>
      </c>
      <c r="AX32" s="2233">
        <f t="shared" si="12"/>
        <v>1</v>
      </c>
      <c r="AY32" s="2232">
        <v>6</v>
      </c>
      <c r="AZ32" s="2234">
        <v>1</v>
      </c>
      <c r="BA32" s="2234">
        <v>0.5</v>
      </c>
      <c r="BB32" s="2234">
        <v>0.5</v>
      </c>
      <c r="BC32" s="2312">
        <v>0</v>
      </c>
      <c r="BD32" s="1962" t="s">
        <v>1090</v>
      </c>
      <c r="BE32" s="1962"/>
      <c r="BF32" s="1962"/>
      <c r="BG32" s="2474">
        <f t="shared" si="23"/>
        <v>8</v>
      </c>
      <c r="BH32" s="2475">
        <f t="shared" si="14"/>
        <v>1</v>
      </c>
      <c r="BI32" s="2476">
        <v>44</v>
      </c>
      <c r="BJ32" s="2475">
        <v>1</v>
      </c>
      <c r="BK32" s="2475"/>
      <c r="BL32" s="2475">
        <v>1</v>
      </c>
      <c r="BM32" s="2477"/>
      <c r="BN32" s="2475"/>
      <c r="BO32" s="2474" t="s">
        <v>3072</v>
      </c>
      <c r="BP32" s="2480"/>
    </row>
    <row r="33" spans="1:68" s="49" customFormat="1" ht="115.5" customHeight="1" thickBot="1">
      <c r="A33" s="2655"/>
      <c r="B33" s="2655"/>
      <c r="C33" s="2657"/>
      <c r="D33" s="82" t="s">
        <v>122</v>
      </c>
      <c r="E33" s="77" t="s">
        <v>123</v>
      </c>
      <c r="F33" s="77">
        <v>6</v>
      </c>
      <c r="G33" s="78" t="s">
        <v>124</v>
      </c>
      <c r="H33" s="65" t="s">
        <v>102</v>
      </c>
      <c r="I33" s="66">
        <v>0.1</v>
      </c>
      <c r="J33" s="65" t="s">
        <v>125</v>
      </c>
      <c r="K33" s="67">
        <v>42005</v>
      </c>
      <c r="L33" s="79">
        <v>42369</v>
      </c>
      <c r="M33" s="80"/>
      <c r="N33" s="80">
        <v>1</v>
      </c>
      <c r="O33" s="80"/>
      <c r="P33" s="80">
        <v>1</v>
      </c>
      <c r="Q33" s="80"/>
      <c r="R33" s="80">
        <v>1</v>
      </c>
      <c r="S33" s="80"/>
      <c r="T33" s="80">
        <v>1</v>
      </c>
      <c r="U33" s="81"/>
      <c r="V33" s="81">
        <v>1</v>
      </c>
      <c r="W33" s="81"/>
      <c r="X33" s="81">
        <v>1</v>
      </c>
      <c r="Y33" s="74">
        <f t="shared" si="17"/>
        <v>6</v>
      </c>
      <c r="Z33" s="75">
        <v>0</v>
      </c>
      <c r="AA33" s="491" t="s">
        <v>1090</v>
      </c>
      <c r="AB33" s="1378">
        <f t="shared" si="3"/>
        <v>1</v>
      </c>
      <c r="AC33" s="1630">
        <f t="shared" si="4"/>
        <v>1</v>
      </c>
      <c r="AD33" s="1552">
        <v>0</v>
      </c>
      <c r="AE33" s="1630">
        <f t="shared" si="18"/>
        <v>0</v>
      </c>
      <c r="AF33" s="1630">
        <f t="shared" si="19"/>
        <v>0</v>
      </c>
      <c r="AG33" s="1335">
        <f t="shared" si="20"/>
        <v>0</v>
      </c>
      <c r="AH33" s="1335"/>
      <c r="AI33" s="1378"/>
      <c r="AJ33" s="1371"/>
      <c r="AK33" s="1378"/>
      <c r="AL33" s="1378"/>
      <c r="AM33" s="1692">
        <f t="shared" si="21"/>
        <v>2</v>
      </c>
      <c r="AN33" s="1699">
        <f t="shared" si="8"/>
        <v>1</v>
      </c>
      <c r="AO33" s="1697">
        <v>2</v>
      </c>
      <c r="AP33" s="1699">
        <f t="shared" si="9"/>
        <v>1</v>
      </c>
      <c r="AQ33" s="1699">
        <f t="shared" si="10"/>
        <v>0.3333333333333333</v>
      </c>
      <c r="AR33" s="1699">
        <f t="shared" si="0"/>
        <v>1</v>
      </c>
      <c r="AS33" s="1743">
        <v>0</v>
      </c>
      <c r="AT33" s="1699">
        <v>0</v>
      </c>
      <c r="AU33" s="1692" t="s">
        <v>2376</v>
      </c>
      <c r="AV33" s="1958"/>
      <c r="AW33" s="2231">
        <f t="shared" si="22"/>
        <v>3</v>
      </c>
      <c r="AX33" s="2233">
        <f t="shared" si="12"/>
        <v>1</v>
      </c>
      <c r="AY33" s="2232">
        <v>3</v>
      </c>
      <c r="AZ33" s="2234">
        <v>1</v>
      </c>
      <c r="BA33" s="2234">
        <v>0.5</v>
      </c>
      <c r="BB33" s="2234">
        <v>0.5</v>
      </c>
      <c r="BC33" s="2312">
        <v>0</v>
      </c>
      <c r="BD33" s="1962" t="s">
        <v>1090</v>
      </c>
      <c r="BE33" s="1962" t="s">
        <v>2724</v>
      </c>
      <c r="BF33" s="1962"/>
      <c r="BG33" s="2474">
        <f t="shared" si="23"/>
        <v>4</v>
      </c>
      <c r="BH33" s="2475">
        <f t="shared" si="14"/>
        <v>1</v>
      </c>
      <c r="BI33" s="2476">
        <v>313</v>
      </c>
      <c r="BJ33" s="2475">
        <v>1</v>
      </c>
      <c r="BK33" s="2475"/>
      <c r="BL33" s="2475">
        <v>1</v>
      </c>
      <c r="BM33" s="2477"/>
      <c r="BN33" s="2475"/>
      <c r="BO33" s="2474" t="s">
        <v>3073</v>
      </c>
      <c r="BP33" s="2480"/>
    </row>
    <row r="34" spans="1:68" s="49" customFormat="1" ht="94.5" customHeight="1" thickBot="1">
      <c r="A34" s="2655"/>
      <c r="B34" s="2655"/>
      <c r="C34" s="2657"/>
      <c r="D34" s="82" t="s">
        <v>126</v>
      </c>
      <c r="E34" s="77" t="s">
        <v>127</v>
      </c>
      <c r="F34" s="77">
        <v>3</v>
      </c>
      <c r="G34" s="78" t="s">
        <v>128</v>
      </c>
      <c r="H34" s="65" t="s">
        <v>129</v>
      </c>
      <c r="I34" s="66">
        <v>0.1</v>
      </c>
      <c r="J34" s="65" t="s">
        <v>96</v>
      </c>
      <c r="K34" s="67">
        <v>42005</v>
      </c>
      <c r="L34" s="79">
        <v>42369</v>
      </c>
      <c r="M34" s="80"/>
      <c r="N34" s="80"/>
      <c r="O34" s="80"/>
      <c r="P34" s="80">
        <v>1</v>
      </c>
      <c r="Q34" s="80"/>
      <c r="R34" s="80"/>
      <c r="S34" s="80"/>
      <c r="T34" s="80">
        <v>1</v>
      </c>
      <c r="U34" s="81"/>
      <c r="V34" s="81"/>
      <c r="W34" s="81"/>
      <c r="X34" s="81">
        <v>1</v>
      </c>
      <c r="Y34" s="74">
        <f t="shared" si="17"/>
        <v>3</v>
      </c>
      <c r="Z34" s="75">
        <v>0</v>
      </c>
      <c r="AA34" s="491" t="s">
        <v>1090</v>
      </c>
      <c r="AB34" s="1378">
        <f t="shared" si="3"/>
        <v>0</v>
      </c>
      <c r="AC34" s="1630">
        <f>IF(AB34=0,0%,100%)</f>
        <v>0</v>
      </c>
      <c r="AD34" s="1552">
        <v>0</v>
      </c>
      <c r="AE34" s="1630" t="s">
        <v>1090</v>
      </c>
      <c r="AF34" s="1630">
        <f t="shared" si="19"/>
        <v>0</v>
      </c>
      <c r="AG34" s="1335">
        <f t="shared" si="20"/>
        <v>0</v>
      </c>
      <c r="AH34" s="1335"/>
      <c r="AI34" s="1378"/>
      <c r="AJ34" s="1371"/>
      <c r="AK34" s="1378"/>
      <c r="AL34" s="1378"/>
      <c r="AM34" s="1692">
        <f t="shared" si="21"/>
        <v>1</v>
      </c>
      <c r="AN34" s="1699">
        <f t="shared" si="8"/>
        <v>1</v>
      </c>
      <c r="AO34" s="1697">
        <v>0</v>
      </c>
      <c r="AP34" s="1699">
        <f t="shared" si="9"/>
        <v>0</v>
      </c>
      <c r="AQ34" s="1699">
        <f t="shared" si="10"/>
        <v>0</v>
      </c>
      <c r="AR34" s="1699">
        <f t="shared" si="0"/>
        <v>0</v>
      </c>
      <c r="AS34" s="1743">
        <v>0</v>
      </c>
      <c r="AT34" s="1699">
        <v>0</v>
      </c>
      <c r="AU34" s="1692"/>
      <c r="AV34" s="1958"/>
      <c r="AW34" s="2231">
        <f t="shared" si="22"/>
        <v>1</v>
      </c>
      <c r="AX34" s="2233">
        <f t="shared" si="12"/>
        <v>1</v>
      </c>
      <c r="AY34" s="2235">
        <v>0</v>
      </c>
      <c r="AZ34" s="2236">
        <v>0</v>
      </c>
      <c r="BA34" s="2236">
        <v>0</v>
      </c>
      <c r="BB34" s="2236">
        <v>0</v>
      </c>
      <c r="BC34" s="2312">
        <v>0</v>
      </c>
      <c r="BD34" s="1964" t="s">
        <v>1090</v>
      </c>
      <c r="BE34" s="1964"/>
      <c r="BF34" s="1964"/>
      <c r="BG34" s="2474">
        <f t="shared" si="23"/>
        <v>2</v>
      </c>
      <c r="BH34" s="2475">
        <f t="shared" si="14"/>
        <v>1</v>
      </c>
      <c r="BI34" s="2476">
        <v>2</v>
      </c>
      <c r="BJ34" s="2475">
        <v>1</v>
      </c>
      <c r="BK34" s="2475"/>
      <c r="BL34" s="2475">
        <f t="shared" si="24"/>
        <v>0.6666666666666666</v>
      </c>
      <c r="BM34" s="2477"/>
      <c r="BN34" s="2475"/>
      <c r="BO34" s="2474" t="s">
        <v>3074</v>
      </c>
      <c r="BP34" s="2480"/>
    </row>
    <row r="35" spans="1:68" s="606" customFormat="1" ht="20.1" customHeight="1" thickBot="1">
      <c r="A35" s="2652" t="s">
        <v>130</v>
      </c>
      <c r="B35" s="2653"/>
      <c r="C35" s="2653"/>
      <c r="D35" s="2654"/>
      <c r="E35" s="1756"/>
      <c r="F35" s="1757"/>
      <c r="G35" s="85"/>
      <c r="H35" s="1757"/>
      <c r="I35" s="86">
        <f>SUM(I25:I34)</f>
        <v>0.9999999999999999</v>
      </c>
      <c r="J35" s="1757"/>
      <c r="K35" s="1757"/>
      <c r="L35" s="1757"/>
      <c r="M35" s="1757"/>
      <c r="N35" s="1757"/>
      <c r="O35" s="1757"/>
      <c r="P35" s="1757"/>
      <c r="Q35" s="1757"/>
      <c r="R35" s="1757"/>
      <c r="S35" s="1757"/>
      <c r="T35" s="1757"/>
      <c r="U35" s="1757"/>
      <c r="V35" s="1757"/>
      <c r="W35" s="1757"/>
      <c r="X35" s="1757"/>
      <c r="Y35" s="87"/>
      <c r="Z35" s="88">
        <f>SUM(Z25:Z34)</f>
        <v>0</v>
      </c>
      <c r="AA35" s="1758"/>
      <c r="AB35" s="1559"/>
      <c r="AC35" s="1504">
        <f>AVERAGEIF(AC25:AC34,"&gt;0")</f>
        <v>1</v>
      </c>
      <c r="AD35" s="1511"/>
      <c r="AE35" s="1494">
        <f>AVERAGE(AE25:AE34)</f>
        <v>0</v>
      </c>
      <c r="AF35" s="1494"/>
      <c r="AG35" s="1496">
        <f>AVERAGE(AG25:AG34)</f>
        <v>0</v>
      </c>
      <c r="AH35" s="1588"/>
      <c r="AI35" s="1289"/>
      <c r="AJ35" s="1289"/>
      <c r="AK35" s="1289"/>
      <c r="AL35" s="1289"/>
      <c r="AM35" s="1325"/>
      <c r="AN35" s="1875">
        <f>AVERAGEIF(AN25:AN34,"&gt;0")</f>
        <v>1</v>
      </c>
      <c r="AO35" s="1857"/>
      <c r="AP35" s="1877">
        <f>AVERAGE(AP25:AP34)</f>
        <v>0.5</v>
      </c>
      <c r="AQ35" s="1325"/>
      <c r="AR35" s="1875">
        <f>AVERAGE(AR25:AR34)</f>
        <v>0.3333333333333333</v>
      </c>
      <c r="AS35" s="1859"/>
      <c r="AT35" s="1325"/>
      <c r="AU35" s="1325"/>
      <c r="AV35" s="1959"/>
      <c r="AW35" s="1966"/>
      <c r="AX35" s="2239">
        <v>1</v>
      </c>
      <c r="AY35" s="1967"/>
      <c r="AZ35" s="2237">
        <f>AVERAGE(AZ25:AZ34)</f>
        <v>0.6666666666666666</v>
      </c>
      <c r="BA35" s="1967"/>
      <c r="BB35" s="2237">
        <f>AVERAGE(BB25:BB34)</f>
        <v>0.38383838383838387</v>
      </c>
      <c r="BC35" s="1967"/>
      <c r="BD35" s="1967"/>
      <c r="BE35" s="1967"/>
      <c r="BF35" s="1968"/>
      <c r="BG35" s="1325"/>
      <c r="BH35" s="1878">
        <v>1</v>
      </c>
      <c r="BI35" s="1857"/>
      <c r="BJ35" s="1557">
        <f>AVERAGE(BJ25:BJ34)</f>
        <v>0.8333333333333334</v>
      </c>
      <c r="BK35" s="1325"/>
      <c r="BL35" s="1498">
        <f>AVERAGE(BL25:BL34)</f>
        <v>0.654882154882155</v>
      </c>
      <c r="BM35" s="1859"/>
      <c r="BN35" s="1325"/>
      <c r="BO35" s="1325"/>
      <c r="BP35" s="1959"/>
    </row>
    <row r="36" spans="1:68" s="49" customFormat="1" ht="95.25" customHeight="1" thickBot="1">
      <c r="A36" s="2671">
        <v>3</v>
      </c>
      <c r="B36" s="2671" t="s">
        <v>131</v>
      </c>
      <c r="C36" s="2656" t="s">
        <v>132</v>
      </c>
      <c r="D36" s="94" t="s">
        <v>133</v>
      </c>
      <c r="E36" s="78" t="s">
        <v>72</v>
      </c>
      <c r="F36" s="77" t="s">
        <v>100</v>
      </c>
      <c r="G36" s="78" t="s">
        <v>73</v>
      </c>
      <c r="H36" s="65" t="s">
        <v>56</v>
      </c>
      <c r="I36" s="95">
        <f>100%/5</f>
        <v>0.2</v>
      </c>
      <c r="J36" s="65" t="s">
        <v>134</v>
      </c>
      <c r="K36" s="56">
        <v>42005</v>
      </c>
      <c r="L36" s="67">
        <v>42369</v>
      </c>
      <c r="M36" s="57"/>
      <c r="N36" s="57"/>
      <c r="O36" s="57"/>
      <c r="P36" s="57"/>
      <c r="Q36" s="57"/>
      <c r="R36" s="57"/>
      <c r="S36" s="57"/>
      <c r="T36" s="57"/>
      <c r="U36" s="57"/>
      <c r="V36" s="57"/>
      <c r="W36" s="57"/>
      <c r="X36" s="57"/>
      <c r="Y36" s="45" t="s">
        <v>100</v>
      </c>
      <c r="Z36" s="96">
        <v>0</v>
      </c>
      <c r="AA36" s="491" t="s">
        <v>1090</v>
      </c>
      <c r="AB36" s="1378" t="s">
        <v>100</v>
      </c>
      <c r="AC36" s="1630">
        <f>IF(AB36=0,0%,100%)</f>
        <v>1</v>
      </c>
      <c r="AD36" s="1552">
        <v>0</v>
      </c>
      <c r="AE36" s="1630" t="s">
        <v>1090</v>
      </c>
      <c r="AF36" s="1630" t="s">
        <v>1090</v>
      </c>
      <c r="AG36" s="1335" t="str">
        <f>AF36</f>
        <v>-</v>
      </c>
      <c r="AH36" s="1335"/>
      <c r="AI36" s="1378"/>
      <c r="AJ36" s="1378"/>
      <c r="AK36" s="1378"/>
      <c r="AL36" s="1378"/>
      <c r="AM36" s="1692">
        <f>SUM(M36:P36)</f>
        <v>0</v>
      </c>
      <c r="AN36" s="1692">
        <f t="shared" si="8"/>
        <v>0</v>
      </c>
      <c r="AO36" s="1697">
        <v>0</v>
      </c>
      <c r="AP36" s="1699" t="s">
        <v>1090</v>
      </c>
      <c r="AQ36" s="1699" t="e">
        <f t="shared" si="10"/>
        <v>#VALUE!</v>
      </c>
      <c r="AR36" s="1699" t="str">
        <f t="shared" si="0"/>
        <v>-</v>
      </c>
      <c r="AS36" s="1743">
        <v>0</v>
      </c>
      <c r="AT36" s="1699">
        <v>0</v>
      </c>
      <c r="AU36" s="1692"/>
      <c r="AV36" s="1958"/>
      <c r="AW36" s="2231">
        <f>SUM(M36:R36)</f>
        <v>0</v>
      </c>
      <c r="AX36" s="2233">
        <f t="shared" si="12"/>
        <v>0</v>
      </c>
      <c r="AY36" s="2231" t="s">
        <v>1090</v>
      </c>
      <c r="AZ36" s="2233" t="s">
        <v>1090</v>
      </c>
      <c r="BA36" s="2233" t="s">
        <v>1090</v>
      </c>
      <c r="BB36" s="2233" t="s">
        <v>1090</v>
      </c>
      <c r="BC36" s="2313">
        <v>0</v>
      </c>
      <c r="BD36" s="1969" t="s">
        <v>1090</v>
      </c>
      <c r="BE36" s="1969"/>
      <c r="BF36" s="1969"/>
      <c r="BG36" s="2474">
        <f>SUM(M36:T36)</f>
        <v>0</v>
      </c>
      <c r="BH36" s="2475">
        <f t="shared" si="14"/>
        <v>0</v>
      </c>
      <c r="BI36" s="2476" t="s">
        <v>1090</v>
      </c>
      <c r="BJ36" s="2475" t="s">
        <v>1090</v>
      </c>
      <c r="BK36" s="2475"/>
      <c r="BL36" s="2475" t="s">
        <v>1090</v>
      </c>
      <c r="BM36" s="2477"/>
      <c r="BN36" s="2475"/>
      <c r="BO36" s="2474" t="s">
        <v>3075</v>
      </c>
      <c r="BP36" s="2480"/>
    </row>
    <row r="37" spans="1:68" s="49" customFormat="1" ht="112.5" customHeight="1" thickBot="1">
      <c r="A37" s="2672"/>
      <c r="B37" s="2672"/>
      <c r="C37" s="2664"/>
      <c r="D37" s="94" t="s">
        <v>135</v>
      </c>
      <c r="E37" s="78" t="s">
        <v>136</v>
      </c>
      <c r="F37" s="102">
        <v>3</v>
      </c>
      <c r="G37" s="78" t="s">
        <v>137</v>
      </c>
      <c r="H37" s="65" t="s">
        <v>56</v>
      </c>
      <c r="I37" s="95">
        <f aca="true" t="shared" si="25" ref="I37:I40">100%/5</f>
        <v>0.2</v>
      </c>
      <c r="J37" s="65" t="s">
        <v>138</v>
      </c>
      <c r="K37" s="56">
        <v>42217</v>
      </c>
      <c r="L37" s="67">
        <v>42369</v>
      </c>
      <c r="M37" s="57"/>
      <c r="N37" s="57"/>
      <c r="O37" s="57"/>
      <c r="P37" s="57"/>
      <c r="Q37" s="57"/>
      <c r="R37" s="57"/>
      <c r="S37" s="57"/>
      <c r="T37" s="57">
        <v>1</v>
      </c>
      <c r="U37" s="57"/>
      <c r="V37" s="57">
        <v>1</v>
      </c>
      <c r="W37" s="57"/>
      <c r="X37" s="57">
        <v>1</v>
      </c>
      <c r="Y37" s="45">
        <f>SUM(M37:X37)</f>
        <v>3</v>
      </c>
      <c r="Z37" s="96">
        <v>0</v>
      </c>
      <c r="AA37" s="491" t="s">
        <v>1090</v>
      </c>
      <c r="AB37" s="1378">
        <f t="shared" si="3"/>
        <v>0</v>
      </c>
      <c r="AC37" s="1630">
        <f aca="true" t="shared" si="26" ref="AC37:AC88">IF(AB37=0,0%,100%)</f>
        <v>0</v>
      </c>
      <c r="AD37" s="1552">
        <v>0</v>
      </c>
      <c r="AE37" s="1630" t="s">
        <v>1090</v>
      </c>
      <c r="AF37" s="1630">
        <f aca="true" t="shared" si="27" ref="AF37:AF42">AD37/Y37</f>
        <v>0</v>
      </c>
      <c r="AG37" s="1335">
        <f aca="true" t="shared" si="28" ref="AG37:AG44">AF37</f>
        <v>0</v>
      </c>
      <c r="AH37" s="1335"/>
      <c r="AI37" s="1378"/>
      <c r="AJ37" s="1378"/>
      <c r="AK37" s="1378"/>
      <c r="AL37" s="1378"/>
      <c r="AM37" s="1692">
        <f aca="true" t="shared" si="29" ref="AM37:AM44">SUM(M37:P37)</f>
        <v>0</v>
      </c>
      <c r="AN37" s="1692">
        <f t="shared" si="8"/>
        <v>0</v>
      </c>
      <c r="AO37" s="1697">
        <v>0</v>
      </c>
      <c r="AP37" s="1699" t="s">
        <v>1090</v>
      </c>
      <c r="AQ37" s="1699">
        <f t="shared" si="10"/>
        <v>0</v>
      </c>
      <c r="AR37" s="1699">
        <v>0</v>
      </c>
      <c r="AS37" s="1743">
        <v>0</v>
      </c>
      <c r="AT37" s="1699">
        <v>0</v>
      </c>
      <c r="AU37" s="1692"/>
      <c r="AV37" s="1958"/>
      <c r="AW37" s="2231">
        <f aca="true" t="shared" si="30" ref="AW37:AW44">SUM(M37:R37)</f>
        <v>0</v>
      </c>
      <c r="AX37" s="2233">
        <f t="shared" si="12"/>
        <v>0</v>
      </c>
      <c r="AY37" s="2232" t="s">
        <v>1090</v>
      </c>
      <c r="AZ37" s="2234" t="s">
        <v>1090</v>
      </c>
      <c r="BA37" s="2234">
        <v>0</v>
      </c>
      <c r="BB37" s="2234">
        <v>0</v>
      </c>
      <c r="BC37" s="2313">
        <v>0</v>
      </c>
      <c r="BD37" s="1963" t="s">
        <v>1090</v>
      </c>
      <c r="BE37" s="1963"/>
      <c r="BF37" s="1963"/>
      <c r="BG37" s="2474">
        <f aca="true" t="shared" si="31" ref="BG37:BG44">SUM(M37:T37)</f>
        <v>1</v>
      </c>
      <c r="BH37" s="2475">
        <f t="shared" si="14"/>
        <v>1</v>
      </c>
      <c r="BI37" s="2476">
        <v>1</v>
      </c>
      <c r="BJ37" s="2475">
        <v>1</v>
      </c>
      <c r="BK37" s="2475"/>
      <c r="BL37" s="2475">
        <f>BI37/Y37</f>
        <v>0.3333333333333333</v>
      </c>
      <c r="BM37" s="2477"/>
      <c r="BN37" s="2475"/>
      <c r="BO37" s="2474" t="s">
        <v>3076</v>
      </c>
      <c r="BP37" s="2480"/>
    </row>
    <row r="38" spans="1:68" s="49" customFormat="1" ht="105.75" customHeight="1" thickBot="1">
      <c r="A38" s="2672"/>
      <c r="B38" s="2672"/>
      <c r="C38" s="2657" t="s">
        <v>507</v>
      </c>
      <c r="D38" s="94" t="s">
        <v>139</v>
      </c>
      <c r="E38" s="78" t="s">
        <v>136</v>
      </c>
      <c r="F38" s="102" t="s">
        <v>140</v>
      </c>
      <c r="G38" s="78" t="s">
        <v>141</v>
      </c>
      <c r="H38" s="65" t="s">
        <v>56</v>
      </c>
      <c r="I38" s="95">
        <f t="shared" si="25"/>
        <v>0.2</v>
      </c>
      <c r="J38" s="65" t="s">
        <v>142</v>
      </c>
      <c r="K38" s="56">
        <v>42006</v>
      </c>
      <c r="L38" s="67">
        <v>42369</v>
      </c>
      <c r="M38" s="57"/>
      <c r="N38" s="57"/>
      <c r="O38" s="57"/>
      <c r="P38" s="57"/>
      <c r="Q38" s="57"/>
      <c r="R38" s="57"/>
      <c r="S38" s="57"/>
      <c r="T38" s="57"/>
      <c r="U38" s="57"/>
      <c r="V38" s="57"/>
      <c r="W38" s="57"/>
      <c r="X38" s="57"/>
      <c r="Y38" s="45" t="s">
        <v>140</v>
      </c>
      <c r="Z38" s="96">
        <v>0</v>
      </c>
      <c r="AA38" s="491" t="s">
        <v>1090</v>
      </c>
      <c r="AB38" s="1378" t="s">
        <v>140</v>
      </c>
      <c r="AC38" s="1630">
        <f t="shared" si="26"/>
        <v>1</v>
      </c>
      <c r="AD38" s="1552">
        <v>0</v>
      </c>
      <c r="AE38" s="1630" t="s">
        <v>1090</v>
      </c>
      <c r="AF38" s="1630" t="s">
        <v>1090</v>
      </c>
      <c r="AG38" s="1335" t="str">
        <f t="shared" si="28"/>
        <v>-</v>
      </c>
      <c r="AH38" s="1335"/>
      <c r="AI38" s="1378"/>
      <c r="AJ38" s="1378"/>
      <c r="AK38" s="1378"/>
      <c r="AL38" s="1378"/>
      <c r="AM38" s="1692">
        <f t="shared" si="29"/>
        <v>0</v>
      </c>
      <c r="AN38" s="1692">
        <f t="shared" si="8"/>
        <v>0</v>
      </c>
      <c r="AO38" s="1697">
        <v>0</v>
      </c>
      <c r="AP38" s="1699" t="s">
        <v>1090</v>
      </c>
      <c r="AQ38" s="1699" t="s">
        <v>1090</v>
      </c>
      <c r="AR38" s="1699" t="str">
        <f t="shared" si="0"/>
        <v>-</v>
      </c>
      <c r="AS38" s="1743">
        <v>0</v>
      </c>
      <c r="AT38" s="1699">
        <v>0</v>
      </c>
      <c r="AU38" s="1692"/>
      <c r="AV38" s="1958"/>
      <c r="AW38" s="2231">
        <f t="shared" si="30"/>
        <v>0</v>
      </c>
      <c r="AX38" s="2233">
        <f t="shared" si="12"/>
        <v>0</v>
      </c>
      <c r="AY38" s="2232" t="s">
        <v>1090</v>
      </c>
      <c r="AZ38" s="2234" t="s">
        <v>1090</v>
      </c>
      <c r="BA38" s="2234" t="s">
        <v>1090</v>
      </c>
      <c r="BB38" s="2234" t="s">
        <v>1090</v>
      </c>
      <c r="BC38" s="2313">
        <v>0</v>
      </c>
      <c r="BD38" s="1963" t="s">
        <v>1090</v>
      </c>
      <c r="BE38" s="1963"/>
      <c r="BF38" s="1963"/>
      <c r="BG38" s="2474">
        <f t="shared" si="31"/>
        <v>0</v>
      </c>
      <c r="BH38" s="2475">
        <f t="shared" si="14"/>
        <v>0</v>
      </c>
      <c r="BI38" s="2476" t="s">
        <v>1090</v>
      </c>
      <c r="BJ38" s="2475" t="s">
        <v>1090</v>
      </c>
      <c r="BK38" s="2475"/>
      <c r="BL38" s="2475" t="s">
        <v>1090</v>
      </c>
      <c r="BM38" s="2477"/>
      <c r="BN38" s="2475"/>
      <c r="BO38" s="2474" t="s">
        <v>3077</v>
      </c>
      <c r="BP38" s="2480"/>
    </row>
    <row r="39" spans="1:68" s="49" customFormat="1" ht="77.25" customHeight="1" thickBot="1">
      <c r="A39" s="2672"/>
      <c r="B39" s="2672"/>
      <c r="C39" s="2657"/>
      <c r="D39" s="82" t="s">
        <v>143</v>
      </c>
      <c r="E39" s="77" t="s">
        <v>144</v>
      </c>
      <c r="F39" s="77">
        <v>4</v>
      </c>
      <c r="G39" s="78" t="s">
        <v>145</v>
      </c>
      <c r="H39" s="65" t="s">
        <v>56</v>
      </c>
      <c r="I39" s="95">
        <f t="shared" si="25"/>
        <v>0.2</v>
      </c>
      <c r="J39" s="65" t="s">
        <v>146</v>
      </c>
      <c r="K39" s="56">
        <v>42064</v>
      </c>
      <c r="L39" s="67">
        <v>42094</v>
      </c>
      <c r="M39" s="57"/>
      <c r="N39" s="57"/>
      <c r="O39" s="57">
        <v>4</v>
      </c>
      <c r="P39" s="57"/>
      <c r="Q39" s="57"/>
      <c r="R39" s="57"/>
      <c r="S39" s="57"/>
      <c r="T39" s="57"/>
      <c r="U39" s="57"/>
      <c r="V39" s="57"/>
      <c r="W39" s="57"/>
      <c r="X39" s="57"/>
      <c r="Y39" s="45">
        <f>SUM(M39:X39)</f>
        <v>4</v>
      </c>
      <c r="Z39" s="96">
        <v>0</v>
      </c>
      <c r="AA39" s="491" t="s">
        <v>1090</v>
      </c>
      <c r="AB39" s="1378">
        <f t="shared" si="3"/>
        <v>0</v>
      </c>
      <c r="AC39" s="1630">
        <f t="shared" si="26"/>
        <v>0</v>
      </c>
      <c r="AD39" s="1552">
        <v>0</v>
      </c>
      <c r="AE39" s="1630" t="s">
        <v>1090</v>
      </c>
      <c r="AF39" s="1630">
        <f t="shared" si="27"/>
        <v>0</v>
      </c>
      <c r="AG39" s="1335">
        <f t="shared" si="28"/>
        <v>0</v>
      </c>
      <c r="AH39" s="1335"/>
      <c r="AI39" s="1378"/>
      <c r="AJ39" s="1378"/>
      <c r="AK39" s="1378"/>
      <c r="AL39" s="1378"/>
      <c r="AM39" s="1692">
        <f t="shared" si="29"/>
        <v>4</v>
      </c>
      <c r="AN39" s="1692">
        <f t="shared" si="8"/>
        <v>1</v>
      </c>
      <c r="AO39" s="1697">
        <v>0</v>
      </c>
      <c r="AP39" s="1699">
        <f t="shared" si="9"/>
        <v>0</v>
      </c>
      <c r="AQ39" s="1699">
        <f t="shared" si="10"/>
        <v>0</v>
      </c>
      <c r="AR39" s="1699">
        <f t="shared" si="0"/>
        <v>0</v>
      </c>
      <c r="AS39" s="1743">
        <v>0</v>
      </c>
      <c r="AT39" s="1699">
        <v>0</v>
      </c>
      <c r="AU39" s="1692" t="s">
        <v>2377</v>
      </c>
      <c r="AV39" s="1958"/>
      <c r="AW39" s="2231">
        <f t="shared" si="30"/>
        <v>4</v>
      </c>
      <c r="AX39" s="2233">
        <f t="shared" si="12"/>
        <v>1</v>
      </c>
      <c r="AY39" s="2232">
        <v>0</v>
      </c>
      <c r="AZ39" s="2234">
        <v>0</v>
      </c>
      <c r="BA39" s="2234">
        <v>0</v>
      </c>
      <c r="BB39" s="2234">
        <v>0</v>
      </c>
      <c r="BC39" s="2313">
        <v>0</v>
      </c>
      <c r="BD39" s="1963" t="s">
        <v>1090</v>
      </c>
      <c r="BE39" s="1963"/>
      <c r="BF39" s="1963" t="s">
        <v>2725</v>
      </c>
      <c r="BG39" s="2474">
        <f t="shared" si="31"/>
        <v>4</v>
      </c>
      <c r="BH39" s="2475">
        <f t="shared" si="14"/>
        <v>1</v>
      </c>
      <c r="BI39" s="2476">
        <v>33</v>
      </c>
      <c r="BJ39" s="2475">
        <v>1</v>
      </c>
      <c r="BK39" s="2475"/>
      <c r="BL39" s="2475">
        <v>1</v>
      </c>
      <c r="BM39" s="2477"/>
      <c r="BN39" s="2475"/>
      <c r="BO39" s="2474" t="s">
        <v>3078</v>
      </c>
      <c r="BP39" s="2480"/>
    </row>
    <row r="40" spans="1:68" s="49" customFormat="1" ht="72.75" customHeight="1" thickBot="1">
      <c r="A40" s="2672"/>
      <c r="B40" s="2672"/>
      <c r="C40" s="2657"/>
      <c r="D40" s="94" t="s">
        <v>147</v>
      </c>
      <c r="E40" s="78" t="s">
        <v>148</v>
      </c>
      <c r="F40" s="102" t="s">
        <v>149</v>
      </c>
      <c r="G40" s="78" t="s">
        <v>150</v>
      </c>
      <c r="H40" s="65" t="s">
        <v>56</v>
      </c>
      <c r="I40" s="95">
        <f t="shared" si="25"/>
        <v>0.2</v>
      </c>
      <c r="J40" s="65" t="s">
        <v>148</v>
      </c>
      <c r="K40" s="56">
        <v>42064</v>
      </c>
      <c r="L40" s="67">
        <v>42094</v>
      </c>
      <c r="M40" s="57"/>
      <c r="N40" s="57"/>
      <c r="O40" s="57"/>
      <c r="P40" s="57"/>
      <c r="Q40" s="57"/>
      <c r="R40" s="57"/>
      <c r="S40" s="57"/>
      <c r="T40" s="57"/>
      <c r="U40" s="57"/>
      <c r="V40" s="57"/>
      <c r="W40" s="57"/>
      <c r="X40" s="57"/>
      <c r="Y40" s="45" t="s">
        <v>149</v>
      </c>
      <c r="Z40" s="96">
        <v>0</v>
      </c>
      <c r="AA40" s="491" t="s">
        <v>1090</v>
      </c>
      <c r="AB40" s="1378" t="s">
        <v>140</v>
      </c>
      <c r="AC40" s="1630">
        <f t="shared" si="26"/>
        <v>1</v>
      </c>
      <c r="AD40" s="1552">
        <v>0</v>
      </c>
      <c r="AE40" s="1630" t="s">
        <v>1090</v>
      </c>
      <c r="AF40" s="1630" t="s">
        <v>1090</v>
      </c>
      <c r="AG40" s="1335" t="str">
        <f t="shared" si="28"/>
        <v>-</v>
      </c>
      <c r="AH40" s="1335"/>
      <c r="AI40" s="1378"/>
      <c r="AJ40" s="1378"/>
      <c r="AK40" s="1378"/>
      <c r="AL40" s="1378"/>
      <c r="AM40" s="1692">
        <f t="shared" si="29"/>
        <v>0</v>
      </c>
      <c r="AN40" s="1692">
        <f t="shared" si="8"/>
        <v>0</v>
      </c>
      <c r="AO40" s="1697">
        <v>0</v>
      </c>
      <c r="AP40" s="1699" t="s">
        <v>1090</v>
      </c>
      <c r="AQ40" s="1699" t="s">
        <v>1090</v>
      </c>
      <c r="AR40" s="1699" t="str">
        <f t="shared" si="0"/>
        <v>-</v>
      </c>
      <c r="AS40" s="1743">
        <v>0</v>
      </c>
      <c r="AT40" s="1699">
        <v>0</v>
      </c>
      <c r="AU40" s="1692"/>
      <c r="AV40" s="1958"/>
      <c r="AW40" s="2231">
        <f t="shared" si="30"/>
        <v>0</v>
      </c>
      <c r="AX40" s="2233">
        <f t="shared" si="12"/>
        <v>0</v>
      </c>
      <c r="AY40" s="2232" t="s">
        <v>1090</v>
      </c>
      <c r="AZ40" s="2234" t="s">
        <v>1090</v>
      </c>
      <c r="BA40" s="2234" t="s">
        <v>1090</v>
      </c>
      <c r="BB40" s="2234" t="s">
        <v>1090</v>
      </c>
      <c r="BC40" s="2313">
        <v>0</v>
      </c>
      <c r="BD40" s="1963" t="s">
        <v>1090</v>
      </c>
      <c r="BE40" s="1963"/>
      <c r="BF40" s="1963"/>
      <c r="BG40" s="2474">
        <f t="shared" si="31"/>
        <v>0</v>
      </c>
      <c r="BH40" s="2475">
        <f t="shared" si="14"/>
        <v>0</v>
      </c>
      <c r="BI40" s="2476" t="s">
        <v>1090</v>
      </c>
      <c r="BJ40" s="2475" t="s">
        <v>1090</v>
      </c>
      <c r="BK40" s="2475"/>
      <c r="BL40" s="2475" t="s">
        <v>1090</v>
      </c>
      <c r="BM40" s="2477"/>
      <c r="BN40" s="2475"/>
      <c r="BO40" s="2474" t="s">
        <v>3079</v>
      </c>
      <c r="BP40" s="2480"/>
    </row>
    <row r="41" spans="1:68" s="49" customFormat="1" ht="77.25" customHeight="1" thickBot="1">
      <c r="A41" s="2672"/>
      <c r="B41" s="2672"/>
      <c r="C41" s="2657"/>
      <c r="D41" s="103" t="s">
        <v>151</v>
      </c>
      <c r="E41" s="104" t="s">
        <v>152</v>
      </c>
      <c r="F41" s="105">
        <v>12</v>
      </c>
      <c r="G41" s="104" t="s">
        <v>153</v>
      </c>
      <c r="H41" s="65" t="s">
        <v>56</v>
      </c>
      <c r="I41" s="106">
        <v>0.16666666666666669</v>
      </c>
      <c r="J41" s="42" t="s">
        <v>154</v>
      </c>
      <c r="K41" s="43">
        <v>42006</v>
      </c>
      <c r="L41" s="43">
        <v>42369</v>
      </c>
      <c r="M41" s="44">
        <v>1</v>
      </c>
      <c r="N41" s="44">
        <v>1</v>
      </c>
      <c r="O41" s="44">
        <v>1</v>
      </c>
      <c r="P41" s="44">
        <v>1</v>
      </c>
      <c r="Q41" s="44">
        <v>1</v>
      </c>
      <c r="R41" s="44">
        <v>1</v>
      </c>
      <c r="S41" s="44">
        <v>1</v>
      </c>
      <c r="T41" s="44">
        <v>1</v>
      </c>
      <c r="U41" s="44">
        <v>1</v>
      </c>
      <c r="V41" s="44">
        <v>1</v>
      </c>
      <c r="W41" s="44">
        <v>1</v>
      </c>
      <c r="X41" s="44">
        <v>1</v>
      </c>
      <c r="Y41" s="45">
        <v>12</v>
      </c>
      <c r="Z41" s="75">
        <v>0</v>
      </c>
      <c r="AA41" s="491" t="s">
        <v>1090</v>
      </c>
      <c r="AB41" s="1378">
        <f t="shared" si="3"/>
        <v>2</v>
      </c>
      <c r="AC41" s="1630">
        <f t="shared" si="26"/>
        <v>1</v>
      </c>
      <c r="AD41" s="1552">
        <v>0</v>
      </c>
      <c r="AE41" s="1630">
        <f aca="true" t="shared" si="32" ref="AE41:AE42">AD41/AB41</f>
        <v>0</v>
      </c>
      <c r="AF41" s="1630">
        <f t="shared" si="27"/>
        <v>0</v>
      </c>
      <c r="AG41" s="1335">
        <f t="shared" si="28"/>
        <v>0</v>
      </c>
      <c r="AH41" s="1335"/>
      <c r="AI41" s="1378"/>
      <c r="AJ41" s="1378"/>
      <c r="AK41" s="1378"/>
      <c r="AL41" s="1378"/>
      <c r="AM41" s="1692">
        <f t="shared" si="29"/>
        <v>4</v>
      </c>
      <c r="AN41" s="1692">
        <f t="shared" si="8"/>
        <v>1</v>
      </c>
      <c r="AO41" s="1697">
        <v>0</v>
      </c>
      <c r="AP41" s="1699">
        <f t="shared" si="9"/>
        <v>0</v>
      </c>
      <c r="AQ41" s="1699">
        <f t="shared" si="10"/>
        <v>0</v>
      </c>
      <c r="AR41" s="1699">
        <f t="shared" si="0"/>
        <v>0</v>
      </c>
      <c r="AS41" s="1743">
        <v>0</v>
      </c>
      <c r="AT41" s="1699">
        <v>0</v>
      </c>
      <c r="AU41" s="1692" t="s">
        <v>2378</v>
      </c>
      <c r="AV41" s="1958"/>
      <c r="AW41" s="2231">
        <f t="shared" si="30"/>
        <v>6</v>
      </c>
      <c r="AX41" s="2233">
        <f t="shared" si="12"/>
        <v>1</v>
      </c>
      <c r="AY41" s="2232">
        <v>6</v>
      </c>
      <c r="AZ41" s="2234">
        <v>1</v>
      </c>
      <c r="BA41" s="2234">
        <v>0.5</v>
      </c>
      <c r="BB41" s="2234">
        <v>0.5</v>
      </c>
      <c r="BC41" s="2313">
        <v>0</v>
      </c>
      <c r="BD41" s="1963" t="s">
        <v>1090</v>
      </c>
      <c r="BE41" s="1963" t="s">
        <v>2726</v>
      </c>
      <c r="BF41" s="1963"/>
      <c r="BG41" s="2474">
        <f t="shared" si="31"/>
        <v>8</v>
      </c>
      <c r="BH41" s="2475">
        <f t="shared" si="14"/>
        <v>1</v>
      </c>
      <c r="BI41" s="2476">
        <v>8</v>
      </c>
      <c r="BJ41" s="2475">
        <v>1</v>
      </c>
      <c r="BK41" s="2475"/>
      <c r="BL41" s="2475">
        <f aca="true" t="shared" si="33" ref="BL41:BL42">BI41/Y41</f>
        <v>0.6666666666666666</v>
      </c>
      <c r="BM41" s="2477"/>
      <c r="BN41" s="2475"/>
      <c r="BO41" s="2474" t="s">
        <v>3080</v>
      </c>
      <c r="BP41" s="2480"/>
    </row>
    <row r="42" spans="1:68" s="49" customFormat="1" ht="80.25" customHeight="1" thickBot="1">
      <c r="A42" s="2672"/>
      <c r="B42" s="2672"/>
      <c r="C42" s="2657"/>
      <c r="D42" s="107" t="s">
        <v>155</v>
      </c>
      <c r="E42" s="108" t="s">
        <v>152</v>
      </c>
      <c r="F42" s="102">
        <v>12</v>
      </c>
      <c r="G42" s="78" t="s">
        <v>153</v>
      </c>
      <c r="H42" s="65" t="s">
        <v>56</v>
      </c>
      <c r="I42" s="106">
        <v>0.16666666666666669</v>
      </c>
      <c r="J42" s="55" t="s">
        <v>154</v>
      </c>
      <c r="K42" s="56">
        <v>42006</v>
      </c>
      <c r="L42" s="56">
        <v>42369</v>
      </c>
      <c r="M42" s="57">
        <v>1</v>
      </c>
      <c r="N42" s="57">
        <v>1</v>
      </c>
      <c r="O42" s="57">
        <v>1</v>
      </c>
      <c r="P42" s="57">
        <v>1</v>
      </c>
      <c r="Q42" s="57">
        <v>1</v>
      </c>
      <c r="R42" s="57">
        <v>1</v>
      </c>
      <c r="S42" s="57">
        <v>1</v>
      </c>
      <c r="T42" s="57">
        <v>1</v>
      </c>
      <c r="U42" s="57">
        <v>1</v>
      </c>
      <c r="V42" s="57">
        <v>1</v>
      </c>
      <c r="W42" s="57">
        <v>1</v>
      </c>
      <c r="X42" s="57">
        <v>1</v>
      </c>
      <c r="Y42" s="109">
        <v>12</v>
      </c>
      <c r="Z42" s="75">
        <v>0</v>
      </c>
      <c r="AA42" s="491" t="s">
        <v>1090</v>
      </c>
      <c r="AB42" s="1378">
        <f t="shared" si="3"/>
        <v>2</v>
      </c>
      <c r="AC42" s="1630">
        <f t="shared" si="26"/>
        <v>1</v>
      </c>
      <c r="AD42" s="1552">
        <v>0</v>
      </c>
      <c r="AE42" s="1630">
        <f t="shared" si="32"/>
        <v>0</v>
      </c>
      <c r="AF42" s="1630">
        <f t="shared" si="27"/>
        <v>0</v>
      </c>
      <c r="AG42" s="1335">
        <f t="shared" si="28"/>
        <v>0</v>
      </c>
      <c r="AH42" s="1335"/>
      <c r="AI42" s="1378"/>
      <c r="AJ42" s="1378"/>
      <c r="AK42" s="1378"/>
      <c r="AL42" s="1378"/>
      <c r="AM42" s="1692">
        <f t="shared" si="29"/>
        <v>4</v>
      </c>
      <c r="AN42" s="1692">
        <f t="shared" si="8"/>
        <v>1</v>
      </c>
      <c r="AO42" s="1697">
        <v>0</v>
      </c>
      <c r="AP42" s="1699">
        <f t="shared" si="9"/>
        <v>0</v>
      </c>
      <c r="AQ42" s="1699">
        <f t="shared" si="10"/>
        <v>0</v>
      </c>
      <c r="AR42" s="1699">
        <f t="shared" si="0"/>
        <v>0</v>
      </c>
      <c r="AS42" s="1743">
        <v>0</v>
      </c>
      <c r="AT42" s="1699">
        <v>0</v>
      </c>
      <c r="AU42" s="1692" t="s">
        <v>2379</v>
      </c>
      <c r="AV42" s="1958"/>
      <c r="AW42" s="2231">
        <f t="shared" si="30"/>
        <v>6</v>
      </c>
      <c r="AX42" s="2233">
        <f t="shared" si="12"/>
        <v>1</v>
      </c>
      <c r="AY42" s="2232">
        <v>6</v>
      </c>
      <c r="AZ42" s="2234">
        <v>1</v>
      </c>
      <c r="BA42" s="2234">
        <v>0.5</v>
      </c>
      <c r="BB42" s="2234">
        <v>0.5</v>
      </c>
      <c r="BC42" s="2313">
        <v>0</v>
      </c>
      <c r="BD42" s="1963" t="s">
        <v>1090</v>
      </c>
      <c r="BE42" s="1963" t="s">
        <v>2727</v>
      </c>
      <c r="BF42" s="1963"/>
      <c r="BG42" s="2474">
        <f t="shared" si="31"/>
        <v>8</v>
      </c>
      <c r="BH42" s="2475">
        <f t="shared" si="14"/>
        <v>1</v>
      </c>
      <c r="BI42" s="2476">
        <v>8</v>
      </c>
      <c r="BJ42" s="2475">
        <v>1</v>
      </c>
      <c r="BK42" s="2475"/>
      <c r="BL42" s="2475">
        <f t="shared" si="33"/>
        <v>0.6666666666666666</v>
      </c>
      <c r="BM42" s="2477"/>
      <c r="BN42" s="2475"/>
      <c r="BO42" s="2474" t="s">
        <v>3081</v>
      </c>
      <c r="BP42" s="2480"/>
    </row>
    <row r="43" spans="1:68" s="49" customFormat="1" ht="93" customHeight="1" thickBot="1">
      <c r="A43" s="2672"/>
      <c r="B43" s="2672"/>
      <c r="C43" s="2657"/>
      <c r="D43" s="103" t="s">
        <v>156</v>
      </c>
      <c r="E43" s="38" t="s">
        <v>157</v>
      </c>
      <c r="F43" s="110" t="s">
        <v>140</v>
      </c>
      <c r="G43" s="111" t="s">
        <v>141</v>
      </c>
      <c r="H43" s="65" t="s">
        <v>56</v>
      </c>
      <c r="I43" s="106">
        <v>0.16666666666666669</v>
      </c>
      <c r="J43" s="112" t="s">
        <v>158</v>
      </c>
      <c r="K43" s="113">
        <v>42006</v>
      </c>
      <c r="L43" s="43">
        <v>42369</v>
      </c>
      <c r="M43" s="44"/>
      <c r="N43" s="44"/>
      <c r="O43" s="44"/>
      <c r="P43" s="44"/>
      <c r="Q43" s="44"/>
      <c r="R43" s="44"/>
      <c r="S43" s="44"/>
      <c r="T43" s="44"/>
      <c r="U43" s="44"/>
      <c r="V43" s="44"/>
      <c r="W43" s="44"/>
      <c r="X43" s="44"/>
      <c r="Y43" s="45" t="s">
        <v>140</v>
      </c>
      <c r="Z43" s="75">
        <v>0</v>
      </c>
      <c r="AA43" s="491" t="s">
        <v>1090</v>
      </c>
      <c r="AB43" s="1378" t="s">
        <v>140</v>
      </c>
      <c r="AC43" s="1630">
        <f t="shared" si="26"/>
        <v>1</v>
      </c>
      <c r="AD43" s="1552">
        <v>0</v>
      </c>
      <c r="AE43" s="1630" t="s">
        <v>1090</v>
      </c>
      <c r="AF43" s="1630" t="s">
        <v>1090</v>
      </c>
      <c r="AG43" s="1335" t="str">
        <f t="shared" si="28"/>
        <v>-</v>
      </c>
      <c r="AH43" s="1335"/>
      <c r="AI43" s="1378"/>
      <c r="AJ43" s="1378"/>
      <c r="AK43" s="1378"/>
      <c r="AL43" s="1378"/>
      <c r="AM43" s="1692">
        <f t="shared" si="29"/>
        <v>0</v>
      </c>
      <c r="AN43" s="1692">
        <f t="shared" si="8"/>
        <v>0</v>
      </c>
      <c r="AO43" s="1697">
        <v>0</v>
      </c>
      <c r="AP43" s="1699" t="s">
        <v>1090</v>
      </c>
      <c r="AQ43" s="1699" t="s">
        <v>1090</v>
      </c>
      <c r="AR43" s="1699" t="str">
        <f t="shared" si="0"/>
        <v>-</v>
      </c>
      <c r="AS43" s="1743">
        <v>0</v>
      </c>
      <c r="AT43" s="1699">
        <v>0</v>
      </c>
      <c r="AU43" s="1692" t="s">
        <v>2380</v>
      </c>
      <c r="AV43" s="1958"/>
      <c r="AW43" s="2231">
        <f t="shared" si="30"/>
        <v>0</v>
      </c>
      <c r="AX43" s="2233">
        <f t="shared" si="12"/>
        <v>0</v>
      </c>
      <c r="AY43" s="2232" t="s">
        <v>1090</v>
      </c>
      <c r="AZ43" s="2234" t="s">
        <v>1090</v>
      </c>
      <c r="BA43" s="2234" t="s">
        <v>1090</v>
      </c>
      <c r="BB43" s="2234" t="s">
        <v>1090</v>
      </c>
      <c r="BC43" s="2313">
        <v>0</v>
      </c>
      <c r="BD43" s="1963" t="s">
        <v>1090</v>
      </c>
      <c r="BE43" s="1963" t="s">
        <v>2728</v>
      </c>
      <c r="BF43" s="1963"/>
      <c r="BG43" s="2474">
        <f t="shared" si="31"/>
        <v>0</v>
      </c>
      <c r="BH43" s="2475">
        <f t="shared" si="14"/>
        <v>0</v>
      </c>
      <c r="BI43" s="2476" t="s">
        <v>1090</v>
      </c>
      <c r="BJ43" s="2475" t="s">
        <v>1090</v>
      </c>
      <c r="BK43" s="2475"/>
      <c r="BL43" s="2475" t="s">
        <v>1090</v>
      </c>
      <c r="BM43" s="2477"/>
      <c r="BN43" s="2475"/>
      <c r="BO43" s="2474" t="s">
        <v>3082</v>
      </c>
      <c r="BP43" s="2480"/>
    </row>
    <row r="44" spans="1:68" s="49" customFormat="1" ht="47.25" customHeight="1" thickBot="1">
      <c r="A44" s="2672"/>
      <c r="B44" s="2672"/>
      <c r="C44" s="2664"/>
      <c r="D44" s="107" t="s">
        <v>147</v>
      </c>
      <c r="E44" s="52" t="s">
        <v>148</v>
      </c>
      <c r="F44" s="52" t="s">
        <v>149</v>
      </c>
      <c r="G44" s="78" t="s">
        <v>150</v>
      </c>
      <c r="H44" s="65" t="s">
        <v>56</v>
      </c>
      <c r="I44" s="106">
        <v>0.16666666666666669</v>
      </c>
      <c r="J44" s="55" t="s">
        <v>148</v>
      </c>
      <c r="K44" s="56">
        <v>42006</v>
      </c>
      <c r="L44" s="56">
        <v>42369</v>
      </c>
      <c r="M44" s="57"/>
      <c r="N44" s="57"/>
      <c r="O44" s="57"/>
      <c r="P44" s="57"/>
      <c r="Q44" s="57"/>
      <c r="R44" s="57"/>
      <c r="S44" s="57"/>
      <c r="T44" s="57"/>
      <c r="U44" s="57"/>
      <c r="V44" s="57"/>
      <c r="W44" s="57"/>
      <c r="X44" s="57"/>
      <c r="Y44" s="109" t="s">
        <v>149</v>
      </c>
      <c r="Z44" s="75">
        <v>0</v>
      </c>
      <c r="AA44" s="491" t="s">
        <v>1090</v>
      </c>
      <c r="AB44" s="1378" t="s">
        <v>140</v>
      </c>
      <c r="AC44" s="1630">
        <f t="shared" si="26"/>
        <v>1</v>
      </c>
      <c r="AD44" s="1552">
        <v>0</v>
      </c>
      <c r="AE44" s="1630" t="s">
        <v>1090</v>
      </c>
      <c r="AF44" s="1630" t="s">
        <v>1090</v>
      </c>
      <c r="AG44" s="1335" t="str">
        <f t="shared" si="28"/>
        <v>-</v>
      </c>
      <c r="AH44" s="1335"/>
      <c r="AI44" s="1378"/>
      <c r="AJ44" s="1378"/>
      <c r="AK44" s="1378"/>
      <c r="AL44" s="1378"/>
      <c r="AM44" s="1692">
        <f t="shared" si="29"/>
        <v>0</v>
      </c>
      <c r="AN44" s="1692">
        <f t="shared" si="8"/>
        <v>0</v>
      </c>
      <c r="AO44" s="1697">
        <v>0</v>
      </c>
      <c r="AP44" s="1699" t="s">
        <v>1090</v>
      </c>
      <c r="AQ44" s="1699" t="s">
        <v>1090</v>
      </c>
      <c r="AR44" s="1699" t="str">
        <f t="shared" si="0"/>
        <v>-</v>
      </c>
      <c r="AS44" s="1743">
        <v>0</v>
      </c>
      <c r="AT44" s="1699">
        <v>0</v>
      </c>
      <c r="AU44" s="1692"/>
      <c r="AV44" s="1958"/>
      <c r="AW44" s="2231">
        <f t="shared" si="30"/>
        <v>0</v>
      </c>
      <c r="AX44" s="2233">
        <f t="shared" si="12"/>
        <v>0</v>
      </c>
      <c r="AY44" s="2235" t="s">
        <v>1090</v>
      </c>
      <c r="AZ44" s="2236" t="s">
        <v>1090</v>
      </c>
      <c r="BA44" s="2236" t="s">
        <v>1090</v>
      </c>
      <c r="BB44" s="2236" t="s">
        <v>1090</v>
      </c>
      <c r="BC44" s="2313">
        <v>0</v>
      </c>
      <c r="BD44" s="1970" t="s">
        <v>1090</v>
      </c>
      <c r="BE44" s="1970" t="s">
        <v>2729</v>
      </c>
      <c r="BF44" s="1970"/>
      <c r="BG44" s="2474">
        <f t="shared" si="31"/>
        <v>0</v>
      </c>
      <c r="BH44" s="2475">
        <f t="shared" si="14"/>
        <v>0</v>
      </c>
      <c r="BI44" s="2476" t="s">
        <v>1090</v>
      </c>
      <c r="BJ44" s="2475" t="s">
        <v>1090</v>
      </c>
      <c r="BK44" s="2475"/>
      <c r="BL44" s="2475" t="s">
        <v>1090</v>
      </c>
      <c r="BM44" s="2477"/>
      <c r="BN44" s="2475"/>
      <c r="BO44" s="2474" t="s">
        <v>3083</v>
      </c>
      <c r="BP44" s="2480"/>
    </row>
    <row r="45" spans="1:68" s="606" customFormat="1" ht="20.1" customHeight="1" thickBot="1">
      <c r="A45" s="2652" t="s">
        <v>130</v>
      </c>
      <c r="B45" s="2653"/>
      <c r="C45" s="2653"/>
      <c r="D45" s="2654"/>
      <c r="E45" s="1757"/>
      <c r="F45" s="1757"/>
      <c r="G45" s="85"/>
      <c r="H45" s="1757"/>
      <c r="I45" s="86">
        <f>SUM(I36:I44)</f>
        <v>1.666666666666667</v>
      </c>
      <c r="J45" s="1757"/>
      <c r="K45" s="1757"/>
      <c r="L45" s="1757"/>
      <c r="M45" s="1757"/>
      <c r="N45" s="1757"/>
      <c r="O45" s="1757"/>
      <c r="P45" s="1757"/>
      <c r="Q45" s="1757"/>
      <c r="R45" s="1757"/>
      <c r="S45" s="1757"/>
      <c r="T45" s="1757"/>
      <c r="U45" s="1757"/>
      <c r="V45" s="1757"/>
      <c r="W45" s="1757"/>
      <c r="X45" s="1757"/>
      <c r="Y45" s="87"/>
      <c r="Z45" s="88">
        <f>SUM(Z36:Z44)</f>
        <v>0</v>
      </c>
      <c r="AA45" s="1758"/>
      <c r="AB45" s="1499"/>
      <c r="AC45" s="1498">
        <f>AVERAGEIF(AC36:AC44,"&gt;0")</f>
        <v>1</v>
      </c>
      <c r="AD45" s="1512"/>
      <c r="AE45" s="1498">
        <f>AVERAGE(AE36:AE44)</f>
        <v>0</v>
      </c>
      <c r="AF45" s="1498"/>
      <c r="AG45" s="1557">
        <f>AVERAGE(AG36:AG44)</f>
        <v>0</v>
      </c>
      <c r="AH45" s="1589"/>
      <c r="AI45" s="1290"/>
      <c r="AJ45" s="1290"/>
      <c r="AK45" s="1290"/>
      <c r="AL45" s="1290"/>
      <c r="AM45" s="1325"/>
      <c r="AN45" s="1875">
        <f>AVERAGEIF(AN36:AN44,"&gt;0")</f>
        <v>1</v>
      </c>
      <c r="AO45" s="1857"/>
      <c r="AP45" s="1877">
        <f>AVERAGE(AP36:AP44)</f>
        <v>0</v>
      </c>
      <c r="AQ45" s="1325"/>
      <c r="AR45" s="1877">
        <f>AVERAGE(AR36:AR44)</f>
        <v>0</v>
      </c>
      <c r="AS45" s="1859"/>
      <c r="AT45" s="1325"/>
      <c r="AU45" s="1325"/>
      <c r="AV45" s="1959"/>
      <c r="AW45" s="1966"/>
      <c r="AX45" s="2239">
        <v>1</v>
      </c>
      <c r="AY45" s="1967"/>
      <c r="AZ45" s="2237">
        <f>AVERAGE(AZ36:AZ44)</f>
        <v>0.6666666666666666</v>
      </c>
      <c r="BA45" s="1967"/>
      <c r="BB45" s="2237">
        <f>AVERAGE(BB36:BB44)</f>
        <v>0.25</v>
      </c>
      <c r="BC45" s="1967"/>
      <c r="BD45" s="1967"/>
      <c r="BE45" s="1967"/>
      <c r="BF45" s="1968"/>
      <c r="BG45" s="1325"/>
      <c r="BH45" s="2505">
        <v>1</v>
      </c>
      <c r="BI45" s="2506"/>
      <c r="BJ45" s="2319">
        <f>AVERAGE(BJ36:BJ44)</f>
        <v>1</v>
      </c>
      <c r="BK45" s="1325"/>
      <c r="BL45" s="2319">
        <f>AVERAGE(BL36:BL44)</f>
        <v>0.6666666666666666</v>
      </c>
      <c r="BM45" s="1859"/>
      <c r="BN45" s="1325"/>
      <c r="BO45" s="1325"/>
      <c r="BP45" s="1959"/>
    </row>
    <row r="46" spans="1:68" s="49" customFormat="1" ht="110.25" customHeight="1" thickBot="1">
      <c r="A46" s="2658">
        <v>4</v>
      </c>
      <c r="B46" s="2658" t="s">
        <v>159</v>
      </c>
      <c r="C46" s="2656" t="s">
        <v>160</v>
      </c>
      <c r="D46" s="94" t="s">
        <v>161</v>
      </c>
      <c r="E46" s="65" t="s">
        <v>162</v>
      </c>
      <c r="F46" s="65" t="s">
        <v>100</v>
      </c>
      <c r="G46" s="65" t="s">
        <v>163</v>
      </c>
      <c r="H46" s="65" t="s">
        <v>164</v>
      </c>
      <c r="I46" s="66">
        <v>0.04</v>
      </c>
      <c r="J46" s="65" t="s">
        <v>165</v>
      </c>
      <c r="K46" s="67">
        <v>42005</v>
      </c>
      <c r="L46" s="67">
        <v>42369</v>
      </c>
      <c r="M46" s="114"/>
      <c r="N46" s="114"/>
      <c r="O46" s="114"/>
      <c r="P46" s="114"/>
      <c r="Q46" s="114"/>
      <c r="R46" s="115"/>
      <c r="S46" s="115"/>
      <c r="T46" s="114"/>
      <c r="U46" s="115"/>
      <c r="V46" s="115"/>
      <c r="W46" s="115"/>
      <c r="X46" s="115"/>
      <c r="Y46" s="45" t="s">
        <v>149</v>
      </c>
      <c r="Z46" s="75">
        <v>0</v>
      </c>
      <c r="AA46" s="492" t="s">
        <v>1090</v>
      </c>
      <c r="AB46" s="1378" t="s">
        <v>149</v>
      </c>
      <c r="AC46" s="1630">
        <f t="shared" si="26"/>
        <v>1</v>
      </c>
      <c r="AD46" s="1552">
        <v>0</v>
      </c>
      <c r="AE46" s="1630" t="s">
        <v>1090</v>
      </c>
      <c r="AF46" s="1630" t="s">
        <v>1090</v>
      </c>
      <c r="AG46" s="1335" t="str">
        <f>AF46</f>
        <v>-</v>
      </c>
      <c r="AH46" s="1335"/>
      <c r="AI46" s="1378"/>
      <c r="AJ46" s="1371"/>
      <c r="AK46" s="1378" t="s">
        <v>1983</v>
      </c>
      <c r="AL46" s="1378"/>
      <c r="AM46" s="1692">
        <f>SUM(M46:P46)</f>
        <v>0</v>
      </c>
      <c r="AN46" s="1699">
        <f t="shared" si="8"/>
        <v>0</v>
      </c>
      <c r="AO46" s="1697">
        <v>0</v>
      </c>
      <c r="AP46" s="1699" t="s">
        <v>1090</v>
      </c>
      <c r="AQ46" s="1699" t="s">
        <v>1090</v>
      </c>
      <c r="AR46" s="1699" t="str">
        <f t="shared" si="0"/>
        <v>-</v>
      </c>
      <c r="AS46" s="1743">
        <v>0</v>
      </c>
      <c r="AT46" s="1699">
        <v>0</v>
      </c>
      <c r="AU46" s="1692" t="s">
        <v>2381</v>
      </c>
      <c r="AV46" s="1958"/>
      <c r="AW46" s="2231">
        <f>SUM(M46:R46)</f>
        <v>0</v>
      </c>
      <c r="AX46" s="2233">
        <f t="shared" si="12"/>
        <v>0</v>
      </c>
      <c r="AY46" s="2231" t="s">
        <v>1090</v>
      </c>
      <c r="AZ46" s="2233" t="s">
        <v>1090</v>
      </c>
      <c r="BA46" s="2233" t="s">
        <v>1090</v>
      </c>
      <c r="BB46" s="2233" t="s">
        <v>1090</v>
      </c>
      <c r="BC46" s="2312">
        <v>0</v>
      </c>
      <c r="BD46" s="1965" t="s">
        <v>1090</v>
      </c>
      <c r="BE46" s="1965" t="s">
        <v>2730</v>
      </c>
      <c r="BF46" s="1965"/>
      <c r="BG46" s="2474">
        <f>SUM(M46:T46)</f>
        <v>0</v>
      </c>
      <c r="BH46" s="2475">
        <f t="shared" si="14"/>
        <v>0</v>
      </c>
      <c r="BI46" s="2476" t="s">
        <v>1090</v>
      </c>
      <c r="BJ46" s="2475" t="s">
        <v>1090</v>
      </c>
      <c r="BK46" s="2475"/>
      <c r="BL46" s="2475" t="s">
        <v>1090</v>
      </c>
      <c r="BM46" s="2477"/>
      <c r="BN46" s="2475"/>
      <c r="BO46" s="2474" t="s">
        <v>3084</v>
      </c>
      <c r="BP46" s="2480"/>
    </row>
    <row r="47" spans="1:68" s="49" customFormat="1" ht="99.75" customHeight="1" thickBot="1">
      <c r="A47" s="2655"/>
      <c r="B47" s="2655"/>
      <c r="C47" s="2657"/>
      <c r="D47" s="2874" t="s">
        <v>166</v>
      </c>
      <c r="E47" s="65" t="s">
        <v>54</v>
      </c>
      <c r="F47" s="65">
        <v>1</v>
      </c>
      <c r="G47" s="65" t="s">
        <v>167</v>
      </c>
      <c r="H47" s="65" t="s">
        <v>164</v>
      </c>
      <c r="I47" s="66">
        <v>0.04</v>
      </c>
      <c r="J47" s="65" t="s">
        <v>168</v>
      </c>
      <c r="K47" s="117">
        <v>42095</v>
      </c>
      <c r="L47" s="117">
        <v>42124</v>
      </c>
      <c r="M47" s="118"/>
      <c r="N47" s="118"/>
      <c r="O47" s="118"/>
      <c r="P47" s="119">
        <v>1</v>
      </c>
      <c r="Q47" s="118"/>
      <c r="R47" s="120"/>
      <c r="S47" s="120"/>
      <c r="T47" s="118"/>
      <c r="U47" s="120"/>
      <c r="V47" s="120"/>
      <c r="W47" s="120"/>
      <c r="X47" s="120"/>
      <c r="Y47" s="121">
        <f aca="true" t="shared" si="34" ref="Y47:Y63">SUM(M47:X47)</f>
        <v>1</v>
      </c>
      <c r="Z47" s="75">
        <v>216005832</v>
      </c>
      <c r="AA47" s="122" t="s">
        <v>169</v>
      </c>
      <c r="AB47" s="1378">
        <f t="shared" si="3"/>
        <v>0</v>
      </c>
      <c r="AC47" s="1630">
        <f t="shared" si="26"/>
        <v>0</v>
      </c>
      <c r="AD47" s="1552">
        <v>0</v>
      </c>
      <c r="AE47" s="1630" t="s">
        <v>1090</v>
      </c>
      <c r="AF47" s="1630">
        <f aca="true" t="shared" si="35" ref="AF47:AF69">AD47/Y47</f>
        <v>0</v>
      </c>
      <c r="AG47" s="1335">
        <f aca="true" t="shared" si="36" ref="AG47:AG70">AF47</f>
        <v>0</v>
      </c>
      <c r="AH47" s="1335"/>
      <c r="AI47" s="1378"/>
      <c r="AJ47" s="1371"/>
      <c r="AK47" s="1378" t="s">
        <v>1984</v>
      </c>
      <c r="AL47" s="1378"/>
      <c r="AM47" s="1692">
        <f aca="true" t="shared" si="37" ref="AM47:AM70">SUM(M47:P47)</f>
        <v>1</v>
      </c>
      <c r="AN47" s="1699">
        <f t="shared" si="8"/>
        <v>1</v>
      </c>
      <c r="AO47" s="1697">
        <v>0</v>
      </c>
      <c r="AP47" s="1699">
        <f t="shared" si="9"/>
        <v>0</v>
      </c>
      <c r="AQ47" s="1699">
        <f t="shared" si="10"/>
        <v>0</v>
      </c>
      <c r="AR47" s="1699">
        <f t="shared" si="0"/>
        <v>0</v>
      </c>
      <c r="AS47" s="1743">
        <v>0</v>
      </c>
      <c r="AT47" s="1699">
        <v>0</v>
      </c>
      <c r="AU47" s="1692" t="s">
        <v>2382</v>
      </c>
      <c r="AV47" s="1958"/>
      <c r="AW47" s="2231">
        <f aca="true" t="shared" si="38" ref="AW47:AW70">SUM(M47:R47)</f>
        <v>1</v>
      </c>
      <c r="AX47" s="2233">
        <f t="shared" si="12"/>
        <v>1</v>
      </c>
      <c r="AY47" s="2232">
        <v>1</v>
      </c>
      <c r="AZ47" s="2234">
        <v>1</v>
      </c>
      <c r="BA47" s="2234">
        <v>1</v>
      </c>
      <c r="BB47" s="2234">
        <v>1</v>
      </c>
      <c r="BC47" s="2312">
        <v>0</v>
      </c>
      <c r="BD47" s="1962" t="s">
        <v>1090</v>
      </c>
      <c r="BE47" s="1962" t="s">
        <v>2731</v>
      </c>
      <c r="BF47" s="1962"/>
      <c r="BG47" s="2474">
        <f aca="true" t="shared" si="39" ref="BG47:BG70">SUM(M47:T47)</f>
        <v>1</v>
      </c>
      <c r="BH47" s="2475">
        <f t="shared" si="14"/>
        <v>1</v>
      </c>
      <c r="BI47" s="2476">
        <v>1</v>
      </c>
      <c r="BJ47" s="2475">
        <v>1</v>
      </c>
      <c r="BK47" s="2475"/>
      <c r="BL47" s="2475">
        <f>BI47/Y47</f>
        <v>1</v>
      </c>
      <c r="BM47" s="2477"/>
      <c r="BN47" s="2475"/>
      <c r="BO47" s="2474" t="s">
        <v>3085</v>
      </c>
      <c r="BP47" s="2480"/>
    </row>
    <row r="48" spans="1:68" s="49" customFormat="1" ht="45.75" customHeight="1" thickBot="1">
      <c r="A48" s="2655"/>
      <c r="B48" s="2655"/>
      <c r="C48" s="2657"/>
      <c r="D48" s="2875"/>
      <c r="E48" s="65" t="s">
        <v>54</v>
      </c>
      <c r="F48" s="65">
        <v>1</v>
      </c>
      <c r="G48" s="65" t="s">
        <v>73</v>
      </c>
      <c r="H48" s="65" t="s">
        <v>164</v>
      </c>
      <c r="I48" s="66">
        <v>0.04</v>
      </c>
      <c r="J48" s="65" t="s">
        <v>170</v>
      </c>
      <c r="K48" s="117">
        <v>42156</v>
      </c>
      <c r="L48" s="117">
        <v>42185</v>
      </c>
      <c r="M48" s="118"/>
      <c r="N48" s="118"/>
      <c r="O48" s="118"/>
      <c r="P48" s="118"/>
      <c r="Q48" s="118"/>
      <c r="R48" s="123">
        <v>1</v>
      </c>
      <c r="S48" s="120"/>
      <c r="T48" s="118"/>
      <c r="U48" s="120"/>
      <c r="V48" s="120"/>
      <c r="W48" s="120"/>
      <c r="X48" s="120"/>
      <c r="Y48" s="121">
        <f t="shared" si="34"/>
        <v>1</v>
      </c>
      <c r="Z48" s="75">
        <v>0</v>
      </c>
      <c r="AA48" s="492" t="s">
        <v>1090</v>
      </c>
      <c r="AB48" s="1378">
        <f t="shared" si="3"/>
        <v>0</v>
      </c>
      <c r="AC48" s="1630">
        <f t="shared" si="26"/>
        <v>0</v>
      </c>
      <c r="AD48" s="1552">
        <v>0</v>
      </c>
      <c r="AE48" s="1630" t="s">
        <v>1090</v>
      </c>
      <c r="AF48" s="1630">
        <f t="shared" si="35"/>
        <v>0</v>
      </c>
      <c r="AG48" s="1335">
        <f t="shared" si="36"/>
        <v>0</v>
      </c>
      <c r="AH48" s="1335"/>
      <c r="AI48" s="1378"/>
      <c r="AJ48" s="1371"/>
      <c r="AK48" s="1378"/>
      <c r="AL48" s="1378"/>
      <c r="AM48" s="1692">
        <f t="shared" si="37"/>
        <v>0</v>
      </c>
      <c r="AN48" s="1699">
        <f t="shared" si="8"/>
        <v>0</v>
      </c>
      <c r="AO48" s="1697">
        <v>0</v>
      </c>
      <c r="AP48" s="1699" t="s">
        <v>1090</v>
      </c>
      <c r="AQ48" s="1699">
        <f t="shared" si="10"/>
        <v>0</v>
      </c>
      <c r="AR48" s="1699">
        <v>0</v>
      </c>
      <c r="AS48" s="1743">
        <v>0</v>
      </c>
      <c r="AT48" s="1699">
        <v>0</v>
      </c>
      <c r="AU48" s="1692"/>
      <c r="AV48" s="1958"/>
      <c r="AW48" s="2231">
        <f t="shared" si="38"/>
        <v>1</v>
      </c>
      <c r="AX48" s="2233">
        <f t="shared" si="12"/>
        <v>1</v>
      </c>
      <c r="AY48" s="2232">
        <v>1</v>
      </c>
      <c r="AZ48" s="2234">
        <v>1</v>
      </c>
      <c r="BA48" s="2234">
        <v>1</v>
      </c>
      <c r="BB48" s="2234">
        <v>1</v>
      </c>
      <c r="BC48" s="2312">
        <v>0</v>
      </c>
      <c r="BD48" s="1962" t="s">
        <v>1090</v>
      </c>
      <c r="BE48" s="1962" t="s">
        <v>2732</v>
      </c>
      <c r="BF48" s="1962"/>
      <c r="BG48" s="2474">
        <f t="shared" si="39"/>
        <v>1</v>
      </c>
      <c r="BH48" s="2475">
        <f t="shared" si="14"/>
        <v>1</v>
      </c>
      <c r="BI48" s="2476">
        <v>1</v>
      </c>
      <c r="BJ48" s="2475">
        <v>1</v>
      </c>
      <c r="BK48" s="2475"/>
      <c r="BL48" s="2475">
        <f aca="true" t="shared" si="40" ref="BL48:BL69">BI48/Y48</f>
        <v>1</v>
      </c>
      <c r="BM48" s="2477"/>
      <c r="BN48" s="2475"/>
      <c r="BO48" s="2474" t="s">
        <v>3086</v>
      </c>
      <c r="BP48" s="2480"/>
    </row>
    <row r="49" spans="1:68" s="49" customFormat="1" ht="96.75" customHeight="1" thickBot="1">
      <c r="A49" s="2655"/>
      <c r="B49" s="2655"/>
      <c r="C49" s="2657"/>
      <c r="D49" s="2874" t="s">
        <v>171</v>
      </c>
      <c r="E49" s="65" t="s">
        <v>54</v>
      </c>
      <c r="F49" s="65">
        <v>1</v>
      </c>
      <c r="G49" s="65" t="s">
        <v>172</v>
      </c>
      <c r="H49" s="65" t="s">
        <v>164</v>
      </c>
      <c r="I49" s="66">
        <v>0.04</v>
      </c>
      <c r="J49" s="65" t="s">
        <v>168</v>
      </c>
      <c r="K49" s="117">
        <v>42125</v>
      </c>
      <c r="L49" s="117">
        <v>42155</v>
      </c>
      <c r="M49" s="118"/>
      <c r="N49" s="118"/>
      <c r="O49" s="118"/>
      <c r="P49" s="118"/>
      <c r="Q49" s="119">
        <v>1</v>
      </c>
      <c r="R49" s="120"/>
      <c r="S49" s="120"/>
      <c r="T49" s="118"/>
      <c r="U49" s="120"/>
      <c r="V49" s="120"/>
      <c r="W49" s="120"/>
      <c r="X49" s="120"/>
      <c r="Y49" s="124">
        <f t="shared" si="34"/>
        <v>1</v>
      </c>
      <c r="Z49" s="75">
        <v>120000000</v>
      </c>
      <c r="AA49" s="122" t="s">
        <v>173</v>
      </c>
      <c r="AB49" s="1378">
        <f t="shared" si="3"/>
        <v>0</v>
      </c>
      <c r="AC49" s="1630">
        <f t="shared" si="26"/>
        <v>0</v>
      </c>
      <c r="AD49" s="1552">
        <v>0</v>
      </c>
      <c r="AE49" s="1630" t="s">
        <v>1090</v>
      </c>
      <c r="AF49" s="1630">
        <f t="shared" si="35"/>
        <v>0</v>
      </c>
      <c r="AG49" s="1335">
        <f t="shared" si="36"/>
        <v>0</v>
      </c>
      <c r="AH49" s="1335"/>
      <c r="AI49" s="1378"/>
      <c r="AJ49" s="1371"/>
      <c r="AK49" s="1378"/>
      <c r="AL49" s="1378"/>
      <c r="AM49" s="1692">
        <f t="shared" si="37"/>
        <v>0</v>
      </c>
      <c r="AN49" s="1699">
        <f t="shared" si="8"/>
        <v>0</v>
      </c>
      <c r="AO49" s="1697">
        <v>0</v>
      </c>
      <c r="AP49" s="1699" t="s">
        <v>1090</v>
      </c>
      <c r="AQ49" s="1699">
        <f t="shared" si="10"/>
        <v>0</v>
      </c>
      <c r="AR49" s="1699">
        <v>0</v>
      </c>
      <c r="AS49" s="1743">
        <v>0</v>
      </c>
      <c r="AT49" s="1699">
        <v>0</v>
      </c>
      <c r="AU49" s="1692" t="s">
        <v>2383</v>
      </c>
      <c r="AV49" s="1958"/>
      <c r="AW49" s="2231">
        <f t="shared" si="38"/>
        <v>1</v>
      </c>
      <c r="AX49" s="2233">
        <f t="shared" si="12"/>
        <v>1</v>
      </c>
      <c r="AY49" s="2232">
        <v>1</v>
      </c>
      <c r="AZ49" s="2234">
        <v>1</v>
      </c>
      <c r="BA49" s="2234">
        <v>1</v>
      </c>
      <c r="BB49" s="2234">
        <v>1</v>
      </c>
      <c r="BC49" s="2312">
        <v>0</v>
      </c>
      <c r="BD49" s="1962" t="s">
        <v>1090</v>
      </c>
      <c r="BE49" s="1962" t="s">
        <v>2733</v>
      </c>
      <c r="BF49" s="1962"/>
      <c r="BG49" s="2474">
        <f t="shared" si="39"/>
        <v>1</v>
      </c>
      <c r="BH49" s="2475">
        <f t="shared" si="14"/>
        <v>1</v>
      </c>
      <c r="BI49" s="2476">
        <v>4</v>
      </c>
      <c r="BJ49" s="2475">
        <v>1</v>
      </c>
      <c r="BK49" s="2475"/>
      <c r="BL49" s="2475">
        <v>1</v>
      </c>
      <c r="BM49" s="2477"/>
      <c r="BN49" s="2475"/>
      <c r="BO49" s="2474" t="s">
        <v>3087</v>
      </c>
      <c r="BP49" s="2480"/>
    </row>
    <row r="50" spans="1:68" s="49" customFormat="1" ht="60" customHeight="1" thickBot="1">
      <c r="A50" s="2655"/>
      <c r="B50" s="2655"/>
      <c r="C50" s="2657"/>
      <c r="D50" s="2875"/>
      <c r="E50" s="65" t="s">
        <v>54</v>
      </c>
      <c r="F50" s="65">
        <v>1</v>
      </c>
      <c r="G50" s="65" t="s">
        <v>174</v>
      </c>
      <c r="H50" s="65" t="s">
        <v>164</v>
      </c>
      <c r="I50" s="66">
        <v>0.04</v>
      </c>
      <c r="J50" s="65" t="s">
        <v>175</v>
      </c>
      <c r="K50" s="117">
        <v>42156</v>
      </c>
      <c r="L50" s="117">
        <v>42185</v>
      </c>
      <c r="M50" s="118"/>
      <c r="N50" s="118"/>
      <c r="O50" s="118"/>
      <c r="P50" s="118"/>
      <c r="Q50" s="118"/>
      <c r="R50" s="119">
        <v>1</v>
      </c>
      <c r="S50" s="120"/>
      <c r="T50" s="118"/>
      <c r="U50" s="120"/>
      <c r="V50" s="120"/>
      <c r="W50" s="120"/>
      <c r="X50" s="120"/>
      <c r="Y50" s="124">
        <v>1</v>
      </c>
      <c r="Z50" s="75">
        <v>0</v>
      </c>
      <c r="AA50" s="122" t="s">
        <v>1090</v>
      </c>
      <c r="AB50" s="1378">
        <f t="shared" si="3"/>
        <v>0</v>
      </c>
      <c r="AC50" s="1630">
        <f t="shared" si="26"/>
        <v>0</v>
      </c>
      <c r="AD50" s="1552">
        <v>0</v>
      </c>
      <c r="AE50" s="1630" t="s">
        <v>1090</v>
      </c>
      <c r="AF50" s="1630">
        <f t="shared" si="35"/>
        <v>0</v>
      </c>
      <c r="AG50" s="1335">
        <f t="shared" si="36"/>
        <v>0</v>
      </c>
      <c r="AH50" s="1335"/>
      <c r="AI50" s="1378"/>
      <c r="AJ50" s="1371"/>
      <c r="AK50" s="1378"/>
      <c r="AL50" s="1378"/>
      <c r="AM50" s="1692">
        <f t="shared" si="37"/>
        <v>0</v>
      </c>
      <c r="AN50" s="1699">
        <f t="shared" si="8"/>
        <v>0</v>
      </c>
      <c r="AO50" s="1697">
        <v>0</v>
      </c>
      <c r="AP50" s="1699" t="s">
        <v>1090</v>
      </c>
      <c r="AQ50" s="1699">
        <f t="shared" si="10"/>
        <v>0</v>
      </c>
      <c r="AR50" s="1699">
        <v>0</v>
      </c>
      <c r="AS50" s="1743">
        <v>0</v>
      </c>
      <c r="AT50" s="1699">
        <v>0</v>
      </c>
      <c r="AU50" s="1692" t="s">
        <v>2384</v>
      </c>
      <c r="AV50" s="1958"/>
      <c r="AW50" s="2231">
        <f t="shared" si="38"/>
        <v>1</v>
      </c>
      <c r="AX50" s="2233">
        <f t="shared" si="12"/>
        <v>1</v>
      </c>
      <c r="AY50" s="2232">
        <v>1</v>
      </c>
      <c r="AZ50" s="2234">
        <v>1</v>
      </c>
      <c r="BA50" s="2234">
        <v>1</v>
      </c>
      <c r="BB50" s="2234">
        <v>1</v>
      </c>
      <c r="BC50" s="2312">
        <v>0</v>
      </c>
      <c r="BD50" s="1962" t="s">
        <v>1090</v>
      </c>
      <c r="BE50" s="1962" t="s">
        <v>2734</v>
      </c>
      <c r="BF50" s="1962"/>
      <c r="BG50" s="2474">
        <f t="shared" si="39"/>
        <v>1</v>
      </c>
      <c r="BH50" s="2475">
        <f t="shared" si="14"/>
        <v>1</v>
      </c>
      <c r="BI50" s="2476">
        <v>1</v>
      </c>
      <c r="BJ50" s="2475">
        <v>1</v>
      </c>
      <c r="BK50" s="2475"/>
      <c r="BL50" s="2475">
        <f t="shared" si="40"/>
        <v>1</v>
      </c>
      <c r="BM50" s="2477"/>
      <c r="BN50" s="2475"/>
      <c r="BO50" s="2474" t="s">
        <v>3088</v>
      </c>
      <c r="BP50" s="2480"/>
    </row>
    <row r="51" spans="1:68" s="49" customFormat="1" ht="95.25" customHeight="1" thickBot="1">
      <c r="A51" s="2655"/>
      <c r="B51" s="2655"/>
      <c r="C51" s="2657"/>
      <c r="D51" s="2874" t="s">
        <v>176</v>
      </c>
      <c r="E51" s="65" t="s">
        <v>54</v>
      </c>
      <c r="F51" s="65">
        <v>1</v>
      </c>
      <c r="G51" s="65" t="s">
        <v>172</v>
      </c>
      <c r="H51" s="65" t="s">
        <v>164</v>
      </c>
      <c r="I51" s="66">
        <v>0.04</v>
      </c>
      <c r="J51" s="65" t="s">
        <v>168</v>
      </c>
      <c r="K51" s="117">
        <v>42095</v>
      </c>
      <c r="L51" s="117">
        <v>42124</v>
      </c>
      <c r="M51" s="119"/>
      <c r="N51" s="119"/>
      <c r="O51" s="119"/>
      <c r="P51" s="119">
        <v>1</v>
      </c>
      <c r="Q51" s="118"/>
      <c r="R51" s="120"/>
      <c r="S51" s="120"/>
      <c r="T51" s="118"/>
      <c r="U51" s="120"/>
      <c r="V51" s="120"/>
      <c r="W51" s="120"/>
      <c r="X51" s="120"/>
      <c r="Y51" s="121">
        <f>SUM(M51:X51)</f>
        <v>1</v>
      </c>
      <c r="Z51" s="75">
        <v>520000000</v>
      </c>
      <c r="AA51" s="122" t="s">
        <v>173</v>
      </c>
      <c r="AB51" s="1378">
        <f t="shared" si="3"/>
        <v>0</v>
      </c>
      <c r="AC51" s="1630">
        <f t="shared" si="26"/>
        <v>0</v>
      </c>
      <c r="AD51" s="1552">
        <v>0</v>
      </c>
      <c r="AE51" s="1630" t="s">
        <v>1090</v>
      </c>
      <c r="AF51" s="1630">
        <f t="shared" si="35"/>
        <v>0</v>
      </c>
      <c r="AG51" s="1335">
        <f t="shared" si="36"/>
        <v>0</v>
      </c>
      <c r="AH51" s="1335"/>
      <c r="AI51" s="1378"/>
      <c r="AJ51" s="1371"/>
      <c r="AK51" s="1378" t="s">
        <v>1985</v>
      </c>
      <c r="AL51" s="1378"/>
      <c r="AM51" s="1692">
        <f t="shared" si="37"/>
        <v>1</v>
      </c>
      <c r="AN51" s="1699">
        <f t="shared" si="8"/>
        <v>1</v>
      </c>
      <c r="AO51" s="1697">
        <v>1</v>
      </c>
      <c r="AP51" s="1699">
        <f t="shared" si="9"/>
        <v>1</v>
      </c>
      <c r="AQ51" s="1699">
        <f t="shared" si="10"/>
        <v>1</v>
      </c>
      <c r="AR51" s="1699">
        <f t="shared" si="0"/>
        <v>1</v>
      </c>
      <c r="AS51" s="1743">
        <v>0</v>
      </c>
      <c r="AT51" s="1699">
        <v>0</v>
      </c>
      <c r="AU51" s="1692" t="s">
        <v>2385</v>
      </c>
      <c r="AV51" s="1958"/>
      <c r="AW51" s="2231">
        <f t="shared" si="38"/>
        <v>1</v>
      </c>
      <c r="AX51" s="2233">
        <f t="shared" si="12"/>
        <v>1</v>
      </c>
      <c r="AY51" s="2232">
        <v>1</v>
      </c>
      <c r="AZ51" s="2234">
        <v>1</v>
      </c>
      <c r="BA51" s="2234">
        <v>1</v>
      </c>
      <c r="BB51" s="2234">
        <v>1</v>
      </c>
      <c r="BC51" s="2312">
        <v>0</v>
      </c>
      <c r="BD51" s="1962" t="s">
        <v>1090</v>
      </c>
      <c r="BE51" s="1962"/>
      <c r="BF51" s="1962"/>
      <c r="BG51" s="2474">
        <f t="shared" si="39"/>
        <v>1</v>
      </c>
      <c r="BH51" s="2475">
        <f t="shared" si="14"/>
        <v>1</v>
      </c>
      <c r="BI51" s="2476">
        <v>1</v>
      </c>
      <c r="BJ51" s="2475">
        <v>1</v>
      </c>
      <c r="BK51" s="2475"/>
      <c r="BL51" s="2475">
        <f t="shared" si="40"/>
        <v>1</v>
      </c>
      <c r="BM51" s="2477"/>
      <c r="BN51" s="2475"/>
      <c r="BO51" s="2474" t="s">
        <v>3089</v>
      </c>
      <c r="BP51" s="2480"/>
    </row>
    <row r="52" spans="1:68" s="49" customFormat="1" ht="80.25" customHeight="1" thickBot="1">
      <c r="A52" s="2655"/>
      <c r="B52" s="2655"/>
      <c r="C52" s="2657"/>
      <c r="D52" s="2875"/>
      <c r="E52" s="65" t="s">
        <v>177</v>
      </c>
      <c r="F52" s="77" t="s">
        <v>100</v>
      </c>
      <c r="G52" s="65" t="s">
        <v>178</v>
      </c>
      <c r="H52" s="65" t="s">
        <v>179</v>
      </c>
      <c r="I52" s="66">
        <v>0.04</v>
      </c>
      <c r="J52" s="65" t="s">
        <v>180</v>
      </c>
      <c r="K52" s="117">
        <v>42005</v>
      </c>
      <c r="L52" s="117">
        <v>42369</v>
      </c>
      <c r="M52" s="118"/>
      <c r="N52" s="118"/>
      <c r="O52" s="118"/>
      <c r="P52" s="118"/>
      <c r="Q52" s="118"/>
      <c r="R52" s="120"/>
      <c r="S52" s="120"/>
      <c r="T52" s="118"/>
      <c r="U52" s="120"/>
      <c r="V52" s="120"/>
      <c r="W52" s="120"/>
      <c r="X52" s="120"/>
      <c r="Y52" s="45" t="s">
        <v>100</v>
      </c>
      <c r="Z52" s="75">
        <v>0</v>
      </c>
      <c r="AA52" s="122" t="s">
        <v>1090</v>
      </c>
      <c r="AB52" s="1378" t="s">
        <v>100</v>
      </c>
      <c r="AC52" s="1630">
        <f t="shared" si="26"/>
        <v>1</v>
      </c>
      <c r="AD52" s="1552">
        <v>0</v>
      </c>
      <c r="AE52" s="1630" t="s">
        <v>1090</v>
      </c>
      <c r="AF52" s="1630" t="s">
        <v>1090</v>
      </c>
      <c r="AG52" s="1335" t="str">
        <f t="shared" si="36"/>
        <v>-</v>
      </c>
      <c r="AH52" s="1335"/>
      <c r="AI52" s="1378"/>
      <c r="AJ52" s="1371"/>
      <c r="AK52" s="1378" t="s">
        <v>1986</v>
      </c>
      <c r="AL52" s="1378"/>
      <c r="AM52" s="1692">
        <f t="shared" si="37"/>
        <v>0</v>
      </c>
      <c r="AN52" s="1699">
        <f t="shared" si="8"/>
        <v>0</v>
      </c>
      <c r="AO52" s="1697">
        <v>0</v>
      </c>
      <c r="AP52" s="1699" t="s">
        <v>1090</v>
      </c>
      <c r="AQ52" s="1699" t="s">
        <v>1090</v>
      </c>
      <c r="AR52" s="1699" t="str">
        <f t="shared" si="0"/>
        <v>-</v>
      </c>
      <c r="AS52" s="1743">
        <v>0</v>
      </c>
      <c r="AT52" s="1699">
        <v>0</v>
      </c>
      <c r="AU52" s="1692"/>
      <c r="AV52" s="1958"/>
      <c r="AW52" s="2231">
        <f t="shared" si="38"/>
        <v>0</v>
      </c>
      <c r="AX52" s="2233">
        <f t="shared" si="12"/>
        <v>0</v>
      </c>
      <c r="AY52" s="2232" t="s">
        <v>1090</v>
      </c>
      <c r="AZ52" s="2234" t="s">
        <v>1090</v>
      </c>
      <c r="BA52" s="2234" t="s">
        <v>1090</v>
      </c>
      <c r="BB52" s="2234" t="s">
        <v>1090</v>
      </c>
      <c r="BC52" s="2312">
        <v>0</v>
      </c>
      <c r="BD52" s="1962" t="s">
        <v>1090</v>
      </c>
      <c r="BE52" s="1962" t="s">
        <v>1986</v>
      </c>
      <c r="BF52" s="1962"/>
      <c r="BG52" s="2474">
        <f t="shared" si="39"/>
        <v>0</v>
      </c>
      <c r="BH52" s="2475">
        <f t="shared" si="14"/>
        <v>0</v>
      </c>
      <c r="BI52" s="2476" t="s">
        <v>1090</v>
      </c>
      <c r="BJ52" s="2475" t="s">
        <v>1090</v>
      </c>
      <c r="BK52" s="2475"/>
      <c r="BL52" s="2475" t="s">
        <v>1090</v>
      </c>
      <c r="BM52" s="2477"/>
      <c r="BN52" s="2475"/>
      <c r="BO52" s="2474" t="s">
        <v>3090</v>
      </c>
      <c r="BP52" s="2480"/>
    </row>
    <row r="53" spans="1:68" s="49" customFormat="1" ht="105" customHeight="1" thickBot="1">
      <c r="A53" s="2655"/>
      <c r="B53" s="2655"/>
      <c r="C53" s="2657"/>
      <c r="D53" s="2874" t="s">
        <v>181</v>
      </c>
      <c r="E53" s="65" t="s">
        <v>54</v>
      </c>
      <c r="F53" s="65">
        <v>1</v>
      </c>
      <c r="G53" s="65" t="s">
        <v>172</v>
      </c>
      <c r="H53" s="65" t="s">
        <v>164</v>
      </c>
      <c r="I53" s="66">
        <v>0.04</v>
      </c>
      <c r="J53" s="65" t="s">
        <v>168</v>
      </c>
      <c r="K53" s="117">
        <v>42095</v>
      </c>
      <c r="L53" s="117">
        <v>42124</v>
      </c>
      <c r="M53" s="118"/>
      <c r="N53" s="118"/>
      <c r="O53" s="118"/>
      <c r="P53" s="119">
        <v>1</v>
      </c>
      <c r="Q53" s="118"/>
      <c r="R53" s="120"/>
      <c r="S53" s="120"/>
      <c r="T53" s="118"/>
      <c r="U53" s="120"/>
      <c r="V53" s="120"/>
      <c r="W53" s="120"/>
      <c r="X53" s="120"/>
      <c r="Y53" s="121">
        <f>SUM(M53:X53)</f>
        <v>1</v>
      </c>
      <c r="Z53" s="75">
        <v>58000000</v>
      </c>
      <c r="AA53" s="122" t="s">
        <v>169</v>
      </c>
      <c r="AB53" s="1378">
        <f t="shared" si="3"/>
        <v>0</v>
      </c>
      <c r="AC53" s="1630">
        <f t="shared" si="26"/>
        <v>0</v>
      </c>
      <c r="AD53" s="1552">
        <v>0</v>
      </c>
      <c r="AE53" s="1630" t="s">
        <v>1090</v>
      </c>
      <c r="AF53" s="1630">
        <f t="shared" si="35"/>
        <v>0</v>
      </c>
      <c r="AG53" s="1335">
        <f t="shared" si="36"/>
        <v>0</v>
      </c>
      <c r="AH53" s="1335"/>
      <c r="AI53" s="1378"/>
      <c r="AJ53" s="1371"/>
      <c r="AK53" s="1378" t="s">
        <v>1987</v>
      </c>
      <c r="AL53" s="1378"/>
      <c r="AM53" s="1692">
        <f t="shared" si="37"/>
        <v>1</v>
      </c>
      <c r="AN53" s="1699">
        <f t="shared" si="8"/>
        <v>1</v>
      </c>
      <c r="AO53" s="1697">
        <v>1</v>
      </c>
      <c r="AP53" s="1699">
        <f t="shared" si="9"/>
        <v>1</v>
      </c>
      <c r="AQ53" s="1699">
        <f t="shared" si="10"/>
        <v>1</v>
      </c>
      <c r="AR53" s="1699">
        <f t="shared" si="0"/>
        <v>1</v>
      </c>
      <c r="AS53" s="1743">
        <v>0</v>
      </c>
      <c r="AT53" s="1699">
        <v>0</v>
      </c>
      <c r="AU53" s="1692" t="s">
        <v>2386</v>
      </c>
      <c r="AV53" s="1958" t="s">
        <v>2387</v>
      </c>
      <c r="AW53" s="2231">
        <f t="shared" si="38"/>
        <v>1</v>
      </c>
      <c r="AX53" s="2233">
        <f t="shared" si="12"/>
        <v>1</v>
      </c>
      <c r="AY53" s="2232">
        <v>1</v>
      </c>
      <c r="AZ53" s="2234">
        <v>1</v>
      </c>
      <c r="BA53" s="2234">
        <v>1</v>
      </c>
      <c r="BB53" s="2234">
        <v>1</v>
      </c>
      <c r="BC53" s="2312">
        <v>0</v>
      </c>
      <c r="BD53" s="1962" t="s">
        <v>1090</v>
      </c>
      <c r="BE53" s="1962" t="s">
        <v>2735</v>
      </c>
      <c r="BF53" s="1962"/>
      <c r="BG53" s="2474">
        <f t="shared" si="39"/>
        <v>1</v>
      </c>
      <c r="BH53" s="2475">
        <f t="shared" si="14"/>
        <v>1</v>
      </c>
      <c r="BI53" s="2476">
        <v>1</v>
      </c>
      <c r="BJ53" s="2475">
        <v>1</v>
      </c>
      <c r="BK53" s="2475"/>
      <c r="BL53" s="2475">
        <f t="shared" si="40"/>
        <v>1</v>
      </c>
      <c r="BM53" s="2477"/>
      <c r="BN53" s="2475"/>
      <c r="BO53" s="2474" t="s">
        <v>3091</v>
      </c>
      <c r="BP53" s="2480"/>
    </row>
    <row r="54" spans="1:68" s="49" customFormat="1" ht="72" customHeight="1" thickBot="1">
      <c r="A54" s="2655"/>
      <c r="B54" s="2655"/>
      <c r="C54" s="2657"/>
      <c r="D54" s="2875"/>
      <c r="E54" s="65" t="s">
        <v>177</v>
      </c>
      <c r="F54" s="77" t="s">
        <v>100</v>
      </c>
      <c r="G54" s="65" t="s">
        <v>182</v>
      </c>
      <c r="H54" s="65" t="s">
        <v>164</v>
      </c>
      <c r="I54" s="66">
        <v>0.04</v>
      </c>
      <c r="J54" s="65" t="s">
        <v>183</v>
      </c>
      <c r="K54" s="117">
        <v>42005</v>
      </c>
      <c r="L54" s="117">
        <v>42369</v>
      </c>
      <c r="M54" s="118"/>
      <c r="N54" s="118"/>
      <c r="O54" s="118"/>
      <c r="P54" s="118"/>
      <c r="Q54" s="118"/>
      <c r="R54" s="120"/>
      <c r="S54" s="120"/>
      <c r="T54" s="118"/>
      <c r="U54" s="120"/>
      <c r="V54" s="120"/>
      <c r="W54" s="120"/>
      <c r="X54" s="120"/>
      <c r="Y54" s="121" t="s">
        <v>100</v>
      </c>
      <c r="Z54" s="75">
        <v>0</v>
      </c>
      <c r="AA54" s="122" t="s">
        <v>1090</v>
      </c>
      <c r="AB54" s="1378" t="s">
        <v>100</v>
      </c>
      <c r="AC54" s="1630">
        <f t="shared" si="26"/>
        <v>1</v>
      </c>
      <c r="AD54" s="1552">
        <v>0</v>
      </c>
      <c r="AE54" s="1630" t="s">
        <v>1090</v>
      </c>
      <c r="AF54" s="1630" t="s">
        <v>1090</v>
      </c>
      <c r="AG54" s="1335" t="str">
        <f t="shared" si="36"/>
        <v>-</v>
      </c>
      <c r="AH54" s="1335"/>
      <c r="AI54" s="1378"/>
      <c r="AJ54" s="1371"/>
      <c r="AK54" s="1378" t="s">
        <v>1988</v>
      </c>
      <c r="AL54" s="1378"/>
      <c r="AM54" s="1692">
        <f t="shared" si="37"/>
        <v>0</v>
      </c>
      <c r="AN54" s="1699">
        <f t="shared" si="8"/>
        <v>0</v>
      </c>
      <c r="AO54" s="1697">
        <v>0</v>
      </c>
      <c r="AP54" s="1699" t="s">
        <v>1090</v>
      </c>
      <c r="AQ54" s="1699" t="s">
        <v>1090</v>
      </c>
      <c r="AR54" s="1699" t="str">
        <f t="shared" si="0"/>
        <v>-</v>
      </c>
      <c r="AS54" s="1743">
        <v>0</v>
      </c>
      <c r="AT54" s="1699">
        <v>0</v>
      </c>
      <c r="AU54" s="1692"/>
      <c r="AV54" s="1958"/>
      <c r="AW54" s="2231">
        <f t="shared" si="38"/>
        <v>0</v>
      </c>
      <c r="AX54" s="2233">
        <f t="shared" si="12"/>
        <v>0</v>
      </c>
      <c r="AY54" s="2232" t="s">
        <v>1090</v>
      </c>
      <c r="AZ54" s="2234" t="s">
        <v>1090</v>
      </c>
      <c r="BA54" s="2234" t="s">
        <v>1090</v>
      </c>
      <c r="BB54" s="2234" t="s">
        <v>1090</v>
      </c>
      <c r="BC54" s="2312">
        <v>0</v>
      </c>
      <c r="BD54" s="1962" t="s">
        <v>1090</v>
      </c>
      <c r="BE54" s="1962" t="s">
        <v>2736</v>
      </c>
      <c r="BF54" s="1962"/>
      <c r="BG54" s="2474">
        <f t="shared" si="39"/>
        <v>0</v>
      </c>
      <c r="BH54" s="2475">
        <f t="shared" si="14"/>
        <v>0</v>
      </c>
      <c r="BI54" s="2476" t="s">
        <v>1090</v>
      </c>
      <c r="BJ54" s="2475" t="s">
        <v>1090</v>
      </c>
      <c r="BK54" s="2475"/>
      <c r="BL54" s="2475" t="s">
        <v>1090</v>
      </c>
      <c r="BM54" s="2477"/>
      <c r="BN54" s="2475"/>
      <c r="BO54" s="2474" t="s">
        <v>3092</v>
      </c>
      <c r="BP54" s="2480"/>
    </row>
    <row r="55" spans="1:68" s="49" customFormat="1" ht="122.25" customHeight="1" thickBot="1">
      <c r="A55" s="2655"/>
      <c r="B55" s="2655"/>
      <c r="C55" s="2657"/>
      <c r="D55" s="2874" t="s">
        <v>184</v>
      </c>
      <c r="E55" s="65" t="s">
        <v>54</v>
      </c>
      <c r="F55" s="65">
        <v>1</v>
      </c>
      <c r="G55" s="65" t="s">
        <v>172</v>
      </c>
      <c r="H55" s="65" t="s">
        <v>164</v>
      </c>
      <c r="I55" s="66">
        <v>0.04</v>
      </c>
      <c r="J55" s="65" t="s">
        <v>168</v>
      </c>
      <c r="K55" s="117">
        <v>42095</v>
      </c>
      <c r="L55" s="117">
        <v>42124</v>
      </c>
      <c r="M55" s="118"/>
      <c r="N55" s="118"/>
      <c r="O55" s="119">
        <v>1</v>
      </c>
      <c r="P55" s="118"/>
      <c r="Q55" s="118"/>
      <c r="R55" s="120"/>
      <c r="S55" s="120"/>
      <c r="T55" s="118"/>
      <c r="U55" s="120"/>
      <c r="V55" s="120"/>
      <c r="W55" s="120"/>
      <c r="X55" s="120"/>
      <c r="Y55" s="121">
        <f t="shared" si="34"/>
        <v>1</v>
      </c>
      <c r="Z55" s="75">
        <v>320000000</v>
      </c>
      <c r="AA55" s="122" t="s">
        <v>169</v>
      </c>
      <c r="AB55" s="1378">
        <f t="shared" si="3"/>
        <v>0</v>
      </c>
      <c r="AC55" s="1630">
        <f t="shared" si="26"/>
        <v>0</v>
      </c>
      <c r="AD55" s="1552">
        <v>0</v>
      </c>
      <c r="AE55" s="1630" t="s">
        <v>1090</v>
      </c>
      <c r="AF55" s="1630">
        <f t="shared" si="35"/>
        <v>0</v>
      </c>
      <c r="AG55" s="1335">
        <f t="shared" si="36"/>
        <v>0</v>
      </c>
      <c r="AH55" s="1335"/>
      <c r="AI55" s="1378"/>
      <c r="AJ55" s="1371"/>
      <c r="AK55" s="1378" t="s">
        <v>1989</v>
      </c>
      <c r="AL55" s="1378"/>
      <c r="AM55" s="1692">
        <f t="shared" si="37"/>
        <v>1</v>
      </c>
      <c r="AN55" s="1699">
        <f t="shared" si="8"/>
        <v>1</v>
      </c>
      <c r="AO55" s="1697">
        <v>1</v>
      </c>
      <c r="AP55" s="1699">
        <f t="shared" si="9"/>
        <v>1</v>
      </c>
      <c r="AQ55" s="1699">
        <f t="shared" si="10"/>
        <v>1</v>
      </c>
      <c r="AR55" s="1699">
        <f t="shared" si="0"/>
        <v>1</v>
      </c>
      <c r="AS55" s="1743">
        <v>0</v>
      </c>
      <c r="AT55" s="1699">
        <v>0</v>
      </c>
      <c r="AU55" s="1692" t="s">
        <v>2386</v>
      </c>
      <c r="AV55" s="1958" t="s">
        <v>2387</v>
      </c>
      <c r="AW55" s="2231">
        <f t="shared" si="38"/>
        <v>1</v>
      </c>
      <c r="AX55" s="2233">
        <f t="shared" si="12"/>
        <v>1</v>
      </c>
      <c r="AY55" s="2232">
        <v>1</v>
      </c>
      <c r="AZ55" s="2234">
        <v>1</v>
      </c>
      <c r="BA55" s="2234">
        <v>1</v>
      </c>
      <c r="BB55" s="2234">
        <v>1</v>
      </c>
      <c r="BC55" s="2312">
        <v>0</v>
      </c>
      <c r="BD55" s="1962" t="s">
        <v>1090</v>
      </c>
      <c r="BE55" s="1962" t="s">
        <v>2386</v>
      </c>
      <c r="BF55" s="1962"/>
      <c r="BG55" s="2474">
        <f t="shared" si="39"/>
        <v>1</v>
      </c>
      <c r="BH55" s="2475">
        <f t="shared" si="14"/>
        <v>1</v>
      </c>
      <c r="BI55" s="2476">
        <v>1</v>
      </c>
      <c r="BJ55" s="2475">
        <v>1</v>
      </c>
      <c r="BK55" s="2475"/>
      <c r="BL55" s="2475">
        <f t="shared" si="40"/>
        <v>1</v>
      </c>
      <c r="BM55" s="2477"/>
      <c r="BN55" s="2475"/>
      <c r="BO55" s="2474" t="s">
        <v>3093</v>
      </c>
      <c r="BP55" s="2480"/>
    </row>
    <row r="56" spans="1:68" s="49" customFormat="1" ht="93" customHeight="1" thickBot="1">
      <c r="A56" s="2655"/>
      <c r="B56" s="2655"/>
      <c r="C56" s="2657"/>
      <c r="D56" s="2875"/>
      <c r="E56" s="65" t="s">
        <v>72</v>
      </c>
      <c r="F56" s="65">
        <v>1</v>
      </c>
      <c r="G56" s="65" t="s">
        <v>174</v>
      </c>
      <c r="H56" s="65" t="s">
        <v>185</v>
      </c>
      <c r="I56" s="66">
        <v>0.04</v>
      </c>
      <c r="J56" s="65" t="s">
        <v>186</v>
      </c>
      <c r="K56" s="117">
        <v>42125</v>
      </c>
      <c r="L56" s="117">
        <v>42155</v>
      </c>
      <c r="M56" s="118"/>
      <c r="N56" s="118"/>
      <c r="O56" s="118"/>
      <c r="P56" s="118"/>
      <c r="Q56" s="119">
        <v>1</v>
      </c>
      <c r="R56" s="120"/>
      <c r="S56" s="120"/>
      <c r="T56" s="118"/>
      <c r="U56" s="120"/>
      <c r="V56" s="120"/>
      <c r="W56" s="120"/>
      <c r="X56" s="120"/>
      <c r="Y56" s="121">
        <f t="shared" si="34"/>
        <v>1</v>
      </c>
      <c r="Z56" s="75">
        <v>0</v>
      </c>
      <c r="AA56" s="122" t="s">
        <v>1090</v>
      </c>
      <c r="AB56" s="1378">
        <f t="shared" si="3"/>
        <v>0</v>
      </c>
      <c r="AC56" s="1630">
        <f t="shared" si="26"/>
        <v>0</v>
      </c>
      <c r="AD56" s="1552">
        <v>0</v>
      </c>
      <c r="AE56" s="1630" t="s">
        <v>1090</v>
      </c>
      <c r="AF56" s="1630">
        <f t="shared" si="35"/>
        <v>0</v>
      </c>
      <c r="AG56" s="1335">
        <f t="shared" si="36"/>
        <v>0</v>
      </c>
      <c r="AH56" s="1335"/>
      <c r="AI56" s="1378"/>
      <c r="AJ56" s="1371"/>
      <c r="AK56" s="1378"/>
      <c r="AL56" s="1378"/>
      <c r="AM56" s="1692">
        <f t="shared" si="37"/>
        <v>0</v>
      </c>
      <c r="AN56" s="1699">
        <f t="shared" si="8"/>
        <v>0</v>
      </c>
      <c r="AO56" s="1697">
        <v>0</v>
      </c>
      <c r="AP56" s="1699" t="s">
        <v>1090</v>
      </c>
      <c r="AQ56" s="1699">
        <f t="shared" si="10"/>
        <v>0</v>
      </c>
      <c r="AR56" s="1699">
        <v>0</v>
      </c>
      <c r="AS56" s="1743">
        <v>0</v>
      </c>
      <c r="AT56" s="1699">
        <v>0</v>
      </c>
      <c r="AU56" s="1692"/>
      <c r="AV56" s="1958" t="s">
        <v>2387</v>
      </c>
      <c r="AW56" s="2231">
        <f t="shared" si="38"/>
        <v>1</v>
      </c>
      <c r="AX56" s="2233">
        <f t="shared" si="12"/>
        <v>1</v>
      </c>
      <c r="AY56" s="2232">
        <v>1</v>
      </c>
      <c r="AZ56" s="2234">
        <v>1</v>
      </c>
      <c r="BA56" s="2234">
        <v>1</v>
      </c>
      <c r="BB56" s="2234">
        <v>1</v>
      </c>
      <c r="BC56" s="2312">
        <v>0</v>
      </c>
      <c r="BD56" s="1962" t="s">
        <v>1090</v>
      </c>
      <c r="BE56" s="1962"/>
      <c r="BF56" s="1962"/>
      <c r="BG56" s="2474">
        <f t="shared" si="39"/>
        <v>1</v>
      </c>
      <c r="BH56" s="2475">
        <f t="shared" si="14"/>
        <v>1</v>
      </c>
      <c r="BI56" s="2476">
        <v>1</v>
      </c>
      <c r="BJ56" s="2475">
        <v>1</v>
      </c>
      <c r="BK56" s="2475"/>
      <c r="BL56" s="2475">
        <f t="shared" si="40"/>
        <v>1</v>
      </c>
      <c r="BM56" s="2477"/>
      <c r="BN56" s="2475"/>
      <c r="BO56" s="2474" t="s">
        <v>3094</v>
      </c>
      <c r="BP56" s="2480"/>
    </row>
    <row r="57" spans="1:68" s="49" customFormat="1" ht="93" customHeight="1" thickBot="1">
      <c r="A57" s="2655"/>
      <c r="B57" s="2655"/>
      <c r="C57" s="2657"/>
      <c r="D57" s="1774" t="s">
        <v>187</v>
      </c>
      <c r="E57" s="65" t="s">
        <v>54</v>
      </c>
      <c r="F57" s="65">
        <v>1</v>
      </c>
      <c r="G57" s="65" t="s">
        <v>172</v>
      </c>
      <c r="H57" s="65" t="s">
        <v>164</v>
      </c>
      <c r="I57" s="66">
        <v>0.04</v>
      </c>
      <c r="J57" s="65" t="s">
        <v>188</v>
      </c>
      <c r="K57" s="117">
        <v>42095</v>
      </c>
      <c r="L57" s="117">
        <v>42124</v>
      </c>
      <c r="M57" s="118"/>
      <c r="N57" s="118"/>
      <c r="O57" s="119"/>
      <c r="P57" s="119">
        <v>1</v>
      </c>
      <c r="Q57" s="118"/>
      <c r="R57" s="120"/>
      <c r="S57" s="120"/>
      <c r="T57" s="118"/>
      <c r="U57" s="120"/>
      <c r="V57" s="120"/>
      <c r="W57" s="120"/>
      <c r="X57" s="120"/>
      <c r="Y57" s="121">
        <f t="shared" si="34"/>
        <v>1</v>
      </c>
      <c r="Z57" s="75">
        <v>200000000</v>
      </c>
      <c r="AA57" s="122" t="s">
        <v>169</v>
      </c>
      <c r="AB57" s="1378">
        <f t="shared" si="3"/>
        <v>0</v>
      </c>
      <c r="AC57" s="1630">
        <f t="shared" si="26"/>
        <v>0</v>
      </c>
      <c r="AD57" s="1552">
        <v>0</v>
      </c>
      <c r="AE57" s="1630" t="s">
        <v>1090</v>
      </c>
      <c r="AF57" s="1630">
        <f t="shared" si="35"/>
        <v>0</v>
      </c>
      <c r="AG57" s="1335">
        <f t="shared" si="36"/>
        <v>0</v>
      </c>
      <c r="AH57" s="1335"/>
      <c r="AI57" s="1378"/>
      <c r="AJ57" s="1371"/>
      <c r="AK57" s="1378"/>
      <c r="AL57" s="1378"/>
      <c r="AM57" s="1692">
        <f t="shared" si="37"/>
        <v>1</v>
      </c>
      <c r="AN57" s="1699">
        <f t="shared" si="8"/>
        <v>1</v>
      </c>
      <c r="AO57" s="1697">
        <v>1</v>
      </c>
      <c r="AP57" s="1699">
        <f t="shared" si="9"/>
        <v>1</v>
      </c>
      <c r="AQ57" s="1699">
        <f t="shared" si="10"/>
        <v>1</v>
      </c>
      <c r="AR57" s="1699">
        <f t="shared" si="0"/>
        <v>1</v>
      </c>
      <c r="AS57" s="1743">
        <v>0</v>
      </c>
      <c r="AT57" s="1699">
        <v>0</v>
      </c>
      <c r="AU57" s="1692" t="s">
        <v>2388</v>
      </c>
      <c r="AV57" s="1958" t="s">
        <v>1991</v>
      </c>
      <c r="AW57" s="2231">
        <f t="shared" si="38"/>
        <v>1</v>
      </c>
      <c r="AX57" s="2233">
        <f t="shared" si="12"/>
        <v>1</v>
      </c>
      <c r="AY57" s="2232">
        <v>0</v>
      </c>
      <c r="AZ57" s="2234">
        <v>0</v>
      </c>
      <c r="BA57" s="2234">
        <v>0</v>
      </c>
      <c r="BB57" s="2234">
        <v>0</v>
      </c>
      <c r="BC57" s="2312">
        <v>0</v>
      </c>
      <c r="BD57" s="1962" t="s">
        <v>1090</v>
      </c>
      <c r="BE57" s="1962" t="s">
        <v>2386</v>
      </c>
      <c r="BF57" s="1962"/>
      <c r="BG57" s="2474">
        <f t="shared" si="39"/>
        <v>1</v>
      </c>
      <c r="BH57" s="2475">
        <f t="shared" si="14"/>
        <v>1</v>
      </c>
      <c r="BI57" s="2476">
        <v>0</v>
      </c>
      <c r="BJ57" s="2475">
        <v>0</v>
      </c>
      <c r="BK57" s="2475"/>
      <c r="BL57" s="2475">
        <f t="shared" si="40"/>
        <v>0</v>
      </c>
      <c r="BM57" s="2477"/>
      <c r="BN57" s="2475"/>
      <c r="BO57" s="2474" t="s">
        <v>3095</v>
      </c>
      <c r="BP57" s="2480"/>
    </row>
    <row r="58" spans="1:68" s="49" customFormat="1" ht="156" customHeight="1" thickBot="1">
      <c r="A58" s="2655"/>
      <c r="B58" s="2655"/>
      <c r="C58" s="2657"/>
      <c r="D58" s="1774" t="s">
        <v>189</v>
      </c>
      <c r="E58" s="65" t="s">
        <v>54</v>
      </c>
      <c r="F58" s="65">
        <v>1</v>
      </c>
      <c r="G58" s="65" t="s">
        <v>172</v>
      </c>
      <c r="H58" s="65" t="s">
        <v>164</v>
      </c>
      <c r="I58" s="66">
        <v>0.04</v>
      </c>
      <c r="J58" s="65" t="s">
        <v>188</v>
      </c>
      <c r="K58" s="117">
        <v>42064</v>
      </c>
      <c r="L58" s="117">
        <v>42094</v>
      </c>
      <c r="M58" s="118"/>
      <c r="N58" s="118"/>
      <c r="O58" s="119">
        <v>1</v>
      </c>
      <c r="P58" s="118"/>
      <c r="Q58" s="118"/>
      <c r="R58" s="120"/>
      <c r="S58" s="120"/>
      <c r="T58" s="118"/>
      <c r="U58" s="120"/>
      <c r="V58" s="120"/>
      <c r="W58" s="120"/>
      <c r="X58" s="120"/>
      <c r="Y58" s="121">
        <f t="shared" si="34"/>
        <v>1</v>
      </c>
      <c r="Z58" s="75">
        <v>24000000</v>
      </c>
      <c r="AA58" s="122" t="s">
        <v>169</v>
      </c>
      <c r="AB58" s="1378">
        <f t="shared" si="3"/>
        <v>0</v>
      </c>
      <c r="AC58" s="1630">
        <f t="shared" si="26"/>
        <v>0</v>
      </c>
      <c r="AD58" s="1552">
        <v>0</v>
      </c>
      <c r="AE58" s="1630" t="s">
        <v>1090</v>
      </c>
      <c r="AF58" s="1630">
        <f t="shared" si="35"/>
        <v>0</v>
      </c>
      <c r="AG58" s="1335">
        <f t="shared" si="36"/>
        <v>0</v>
      </c>
      <c r="AH58" s="1335"/>
      <c r="AI58" s="1378"/>
      <c r="AJ58" s="1371"/>
      <c r="AK58" s="1378"/>
      <c r="AL58" s="1378" t="s">
        <v>1990</v>
      </c>
      <c r="AM58" s="1692">
        <f t="shared" si="37"/>
        <v>1</v>
      </c>
      <c r="AN58" s="1699">
        <f t="shared" si="8"/>
        <v>1</v>
      </c>
      <c r="AO58" s="1697">
        <v>0</v>
      </c>
      <c r="AP58" s="1699">
        <f t="shared" si="9"/>
        <v>0</v>
      </c>
      <c r="AQ58" s="1699">
        <f t="shared" si="10"/>
        <v>0</v>
      </c>
      <c r="AR58" s="1699">
        <f t="shared" si="0"/>
        <v>0</v>
      </c>
      <c r="AS58" s="1743">
        <v>0</v>
      </c>
      <c r="AT58" s="1699">
        <v>0</v>
      </c>
      <c r="AU58" s="1692" t="s">
        <v>1992</v>
      </c>
      <c r="AV58" s="1958"/>
      <c r="AW58" s="2231">
        <f t="shared" si="38"/>
        <v>1</v>
      </c>
      <c r="AX58" s="2233">
        <f t="shared" si="12"/>
        <v>1</v>
      </c>
      <c r="AY58" s="2232">
        <v>0</v>
      </c>
      <c r="AZ58" s="2234">
        <v>0</v>
      </c>
      <c r="BA58" s="2234">
        <v>0</v>
      </c>
      <c r="BB58" s="2234">
        <v>0</v>
      </c>
      <c r="BC58" s="2312">
        <v>0</v>
      </c>
      <c r="BD58" s="1962" t="s">
        <v>1090</v>
      </c>
      <c r="BE58" s="1962" t="s">
        <v>2386</v>
      </c>
      <c r="BF58" s="1962"/>
      <c r="BG58" s="2474">
        <f t="shared" si="39"/>
        <v>1</v>
      </c>
      <c r="BH58" s="2475">
        <f t="shared" si="14"/>
        <v>1</v>
      </c>
      <c r="BI58" s="2476">
        <v>1</v>
      </c>
      <c r="BJ58" s="2475">
        <v>1</v>
      </c>
      <c r="BK58" s="2475"/>
      <c r="BL58" s="2475">
        <f t="shared" si="40"/>
        <v>1</v>
      </c>
      <c r="BM58" s="2477"/>
      <c r="BN58" s="2475"/>
      <c r="BO58" s="2474" t="s">
        <v>3096</v>
      </c>
      <c r="BP58" s="2480"/>
    </row>
    <row r="59" spans="1:68" s="49" customFormat="1" ht="93" customHeight="1" thickBot="1">
      <c r="A59" s="2655"/>
      <c r="B59" s="2655"/>
      <c r="C59" s="2657"/>
      <c r="D59" s="1774" t="s">
        <v>190</v>
      </c>
      <c r="E59" s="65" t="s">
        <v>54</v>
      </c>
      <c r="F59" s="65">
        <v>1</v>
      </c>
      <c r="G59" s="65" t="s">
        <v>172</v>
      </c>
      <c r="H59" s="65" t="s">
        <v>164</v>
      </c>
      <c r="I59" s="66">
        <v>0.04</v>
      </c>
      <c r="J59" s="65" t="s">
        <v>188</v>
      </c>
      <c r="K59" s="117">
        <v>42095</v>
      </c>
      <c r="L59" s="117">
        <v>42124</v>
      </c>
      <c r="M59" s="118"/>
      <c r="N59" s="118"/>
      <c r="O59" s="119"/>
      <c r="P59" s="119">
        <v>1</v>
      </c>
      <c r="Q59" s="118"/>
      <c r="R59" s="120"/>
      <c r="S59" s="120"/>
      <c r="T59" s="118"/>
      <c r="U59" s="120"/>
      <c r="V59" s="120"/>
      <c r="W59" s="120"/>
      <c r="X59" s="120"/>
      <c r="Y59" s="121">
        <f t="shared" si="34"/>
        <v>1</v>
      </c>
      <c r="Z59" s="75">
        <v>44500000</v>
      </c>
      <c r="AA59" s="122" t="s">
        <v>169</v>
      </c>
      <c r="AB59" s="1378">
        <f t="shared" si="3"/>
        <v>0</v>
      </c>
      <c r="AC59" s="1630">
        <f t="shared" si="26"/>
        <v>0</v>
      </c>
      <c r="AD59" s="1552">
        <v>0</v>
      </c>
      <c r="AE59" s="1630" t="s">
        <v>1090</v>
      </c>
      <c r="AF59" s="1630">
        <f t="shared" si="35"/>
        <v>0</v>
      </c>
      <c r="AG59" s="1335">
        <f t="shared" si="36"/>
        <v>0</v>
      </c>
      <c r="AH59" s="1335"/>
      <c r="AI59" s="1378"/>
      <c r="AJ59" s="1371"/>
      <c r="AK59" s="1378"/>
      <c r="AL59" s="1378" t="s">
        <v>1991</v>
      </c>
      <c r="AM59" s="1692">
        <f t="shared" si="37"/>
        <v>1</v>
      </c>
      <c r="AN59" s="1699">
        <f t="shared" si="8"/>
        <v>1</v>
      </c>
      <c r="AO59" s="1697">
        <v>0</v>
      </c>
      <c r="AP59" s="1699">
        <f t="shared" si="9"/>
        <v>0</v>
      </c>
      <c r="AQ59" s="1699">
        <f t="shared" si="10"/>
        <v>0</v>
      </c>
      <c r="AR59" s="1699">
        <f t="shared" si="0"/>
        <v>0</v>
      </c>
      <c r="AS59" s="1743">
        <v>0</v>
      </c>
      <c r="AT59" s="1699">
        <v>0</v>
      </c>
      <c r="AU59" s="1692" t="s">
        <v>2381</v>
      </c>
      <c r="AV59" s="1958"/>
      <c r="AW59" s="2231">
        <f t="shared" si="38"/>
        <v>1</v>
      </c>
      <c r="AX59" s="2233">
        <f t="shared" si="12"/>
        <v>1</v>
      </c>
      <c r="AY59" s="2232">
        <v>0</v>
      </c>
      <c r="AZ59" s="2234">
        <v>0</v>
      </c>
      <c r="BA59" s="2234">
        <v>0</v>
      </c>
      <c r="BB59" s="2234">
        <v>0</v>
      </c>
      <c r="BC59" s="2312">
        <v>0</v>
      </c>
      <c r="BD59" s="1962" t="s">
        <v>1090</v>
      </c>
      <c r="BE59" s="1962" t="s">
        <v>2737</v>
      </c>
      <c r="BF59" s="1962"/>
      <c r="BG59" s="2474">
        <f t="shared" si="39"/>
        <v>1</v>
      </c>
      <c r="BH59" s="2475">
        <f t="shared" si="14"/>
        <v>1</v>
      </c>
      <c r="BI59" s="2476">
        <v>1</v>
      </c>
      <c r="BJ59" s="2475">
        <v>1</v>
      </c>
      <c r="BK59" s="2475"/>
      <c r="BL59" s="2475">
        <f t="shared" si="40"/>
        <v>1</v>
      </c>
      <c r="BM59" s="2477"/>
      <c r="BN59" s="2475"/>
      <c r="BO59" s="2474" t="s">
        <v>2737</v>
      </c>
      <c r="BP59" s="2480"/>
    </row>
    <row r="60" spans="1:68" s="49" customFormat="1" ht="113.25" customHeight="1" thickBot="1">
      <c r="A60" s="2655"/>
      <c r="B60" s="2655"/>
      <c r="C60" s="2664"/>
      <c r="D60" s="94" t="s">
        <v>191</v>
      </c>
      <c r="E60" s="65" t="s">
        <v>192</v>
      </c>
      <c r="F60" s="77" t="s">
        <v>100</v>
      </c>
      <c r="G60" s="65" t="s">
        <v>193</v>
      </c>
      <c r="H60" s="65" t="s">
        <v>164</v>
      </c>
      <c r="I60" s="66">
        <v>0.04</v>
      </c>
      <c r="J60" s="65" t="s">
        <v>194</v>
      </c>
      <c r="K60" s="117">
        <v>42005</v>
      </c>
      <c r="L60" s="117">
        <v>42369</v>
      </c>
      <c r="M60" s="125"/>
      <c r="N60" s="125"/>
      <c r="O60" s="125"/>
      <c r="P60" s="125"/>
      <c r="Q60" s="125"/>
      <c r="R60" s="126"/>
      <c r="S60" s="126"/>
      <c r="T60" s="125"/>
      <c r="U60" s="126"/>
      <c r="V60" s="126"/>
      <c r="W60" s="126"/>
      <c r="X60" s="126"/>
      <c r="Y60" s="121" t="s">
        <v>195</v>
      </c>
      <c r="Z60" s="75">
        <v>0</v>
      </c>
      <c r="AA60" s="122" t="s">
        <v>1090</v>
      </c>
      <c r="AB60" s="1378" t="s">
        <v>100</v>
      </c>
      <c r="AC60" s="1630">
        <f t="shared" si="26"/>
        <v>1</v>
      </c>
      <c r="AD60" s="1552">
        <v>0</v>
      </c>
      <c r="AE60" s="1630" t="s">
        <v>1090</v>
      </c>
      <c r="AF60" s="1630" t="s">
        <v>1090</v>
      </c>
      <c r="AG60" s="1335" t="str">
        <f t="shared" si="36"/>
        <v>-</v>
      </c>
      <c r="AH60" s="1335"/>
      <c r="AI60" s="1378"/>
      <c r="AJ60" s="1371"/>
      <c r="AK60" s="1378" t="s">
        <v>1992</v>
      </c>
      <c r="AL60" s="1378"/>
      <c r="AM60" s="1692">
        <f t="shared" si="37"/>
        <v>0</v>
      </c>
      <c r="AN60" s="1699">
        <f t="shared" si="8"/>
        <v>0</v>
      </c>
      <c r="AO60" s="1697">
        <v>0</v>
      </c>
      <c r="AP60" s="1699" t="s">
        <v>1090</v>
      </c>
      <c r="AQ60" s="1699" t="s">
        <v>1090</v>
      </c>
      <c r="AR60" s="1699" t="str">
        <f t="shared" si="0"/>
        <v>-</v>
      </c>
      <c r="AS60" s="1743">
        <v>0</v>
      </c>
      <c r="AT60" s="1699">
        <v>0</v>
      </c>
      <c r="AU60" s="1692" t="s">
        <v>2389</v>
      </c>
      <c r="AV60" s="1958"/>
      <c r="AW60" s="2231">
        <f t="shared" si="38"/>
        <v>0</v>
      </c>
      <c r="AX60" s="2233">
        <f t="shared" si="12"/>
        <v>0</v>
      </c>
      <c r="AY60" s="2232">
        <v>6</v>
      </c>
      <c r="AZ60" s="2234" t="s">
        <v>1090</v>
      </c>
      <c r="BA60" s="2234" t="s">
        <v>1090</v>
      </c>
      <c r="BB60" s="2234" t="s">
        <v>1090</v>
      </c>
      <c r="BC60" s="2312">
        <v>0</v>
      </c>
      <c r="BD60" s="1962" t="s">
        <v>1090</v>
      </c>
      <c r="BE60" s="1962" t="s">
        <v>2738</v>
      </c>
      <c r="BF60" s="1962"/>
      <c r="BG60" s="2474">
        <f t="shared" si="39"/>
        <v>0</v>
      </c>
      <c r="BH60" s="2475">
        <f t="shared" si="14"/>
        <v>0</v>
      </c>
      <c r="BI60" s="2476" t="s">
        <v>1090</v>
      </c>
      <c r="BJ60" s="2475" t="s">
        <v>1090</v>
      </c>
      <c r="BK60" s="2475"/>
      <c r="BL60" s="2475" t="s">
        <v>1090</v>
      </c>
      <c r="BM60" s="2477"/>
      <c r="BN60" s="2475"/>
      <c r="BO60" s="2474" t="s">
        <v>3097</v>
      </c>
      <c r="BP60" s="2480"/>
    </row>
    <row r="61" spans="1:68" s="49" customFormat="1" ht="94.5" customHeight="1" thickBot="1">
      <c r="A61" s="2655"/>
      <c r="B61" s="2655"/>
      <c r="C61" s="2656" t="s">
        <v>196</v>
      </c>
      <c r="D61" s="127" t="s">
        <v>197</v>
      </c>
      <c r="E61" s="65" t="s">
        <v>198</v>
      </c>
      <c r="F61" s="77" t="s">
        <v>100</v>
      </c>
      <c r="G61" s="65" t="s">
        <v>199</v>
      </c>
      <c r="H61" s="65" t="s">
        <v>185</v>
      </c>
      <c r="I61" s="66">
        <v>0.04</v>
      </c>
      <c r="J61" s="65" t="s">
        <v>200</v>
      </c>
      <c r="K61" s="117">
        <v>42005</v>
      </c>
      <c r="L61" s="117">
        <v>42369</v>
      </c>
      <c r="M61" s="125"/>
      <c r="N61" s="125"/>
      <c r="O61" s="125"/>
      <c r="P61" s="125"/>
      <c r="Q61" s="125"/>
      <c r="R61" s="126"/>
      <c r="S61" s="126"/>
      <c r="T61" s="125"/>
      <c r="U61" s="126"/>
      <c r="V61" s="126"/>
      <c r="W61" s="126"/>
      <c r="X61" s="126"/>
      <c r="Y61" s="121" t="s">
        <v>195</v>
      </c>
      <c r="Z61" s="75">
        <v>0</v>
      </c>
      <c r="AA61" s="122" t="s">
        <v>1090</v>
      </c>
      <c r="AB61" s="1378" t="s">
        <v>100</v>
      </c>
      <c r="AC61" s="1630">
        <f t="shared" si="26"/>
        <v>1</v>
      </c>
      <c r="AD61" s="1552">
        <v>0</v>
      </c>
      <c r="AE61" s="1630" t="s">
        <v>1090</v>
      </c>
      <c r="AF61" s="1630" t="s">
        <v>1090</v>
      </c>
      <c r="AG61" s="1335" t="str">
        <f t="shared" si="36"/>
        <v>-</v>
      </c>
      <c r="AH61" s="1335"/>
      <c r="AI61" s="1378"/>
      <c r="AJ61" s="1371"/>
      <c r="AK61" s="1378" t="s">
        <v>1993</v>
      </c>
      <c r="AL61" s="1378"/>
      <c r="AM61" s="1692">
        <f t="shared" si="37"/>
        <v>0</v>
      </c>
      <c r="AN61" s="1699">
        <f t="shared" si="8"/>
        <v>0</v>
      </c>
      <c r="AO61" s="1697">
        <v>0</v>
      </c>
      <c r="AP61" s="1699" t="s">
        <v>1090</v>
      </c>
      <c r="AQ61" s="1699" t="s">
        <v>1090</v>
      </c>
      <c r="AR61" s="1699" t="str">
        <f t="shared" si="0"/>
        <v>-</v>
      </c>
      <c r="AS61" s="1743">
        <v>0</v>
      </c>
      <c r="AT61" s="1699">
        <v>0</v>
      </c>
      <c r="AU61" s="1692" t="s">
        <v>1994</v>
      </c>
      <c r="AV61" s="1958"/>
      <c r="AW61" s="2231">
        <f t="shared" si="38"/>
        <v>0</v>
      </c>
      <c r="AX61" s="2233">
        <f t="shared" si="12"/>
        <v>0</v>
      </c>
      <c r="AY61" s="2232" t="s">
        <v>1090</v>
      </c>
      <c r="AZ61" s="2234" t="s">
        <v>1090</v>
      </c>
      <c r="BA61" s="2234" t="s">
        <v>1090</v>
      </c>
      <c r="BB61" s="2234" t="s">
        <v>1090</v>
      </c>
      <c r="BC61" s="2312">
        <v>0</v>
      </c>
      <c r="BD61" s="1962" t="s">
        <v>1090</v>
      </c>
      <c r="BE61" s="1962" t="s">
        <v>2739</v>
      </c>
      <c r="BF61" s="1962"/>
      <c r="BG61" s="2474">
        <f t="shared" si="39"/>
        <v>0</v>
      </c>
      <c r="BH61" s="2475">
        <f t="shared" si="14"/>
        <v>0</v>
      </c>
      <c r="BI61" s="2476" t="s">
        <v>1090</v>
      </c>
      <c r="BJ61" s="2475" t="s">
        <v>1090</v>
      </c>
      <c r="BK61" s="2475"/>
      <c r="BL61" s="2475" t="s">
        <v>1090</v>
      </c>
      <c r="BM61" s="2477"/>
      <c r="BN61" s="2475"/>
      <c r="BO61" s="2474" t="s">
        <v>2739</v>
      </c>
      <c r="BP61" s="2480"/>
    </row>
    <row r="62" spans="1:68" s="49" customFormat="1" ht="67.5" customHeight="1" thickBot="1">
      <c r="A62" s="2655"/>
      <c r="B62" s="2655"/>
      <c r="C62" s="2657"/>
      <c r="D62" s="127" t="s">
        <v>201</v>
      </c>
      <c r="E62" s="65" t="s">
        <v>202</v>
      </c>
      <c r="F62" s="65">
        <v>24</v>
      </c>
      <c r="G62" s="65" t="s">
        <v>203</v>
      </c>
      <c r="H62" s="65" t="s">
        <v>185</v>
      </c>
      <c r="I62" s="66">
        <v>0.04</v>
      </c>
      <c r="J62" s="65" t="s">
        <v>204</v>
      </c>
      <c r="K62" s="117">
        <v>42005</v>
      </c>
      <c r="L62" s="117">
        <v>42369</v>
      </c>
      <c r="M62" s="125">
        <v>2</v>
      </c>
      <c r="N62" s="125">
        <v>2</v>
      </c>
      <c r="O62" s="125">
        <v>2</v>
      </c>
      <c r="P62" s="125">
        <v>2</v>
      </c>
      <c r="Q62" s="125">
        <v>2</v>
      </c>
      <c r="R62" s="126">
        <v>2</v>
      </c>
      <c r="S62" s="126">
        <v>2</v>
      </c>
      <c r="T62" s="125">
        <v>2</v>
      </c>
      <c r="U62" s="126">
        <v>2</v>
      </c>
      <c r="V62" s="126">
        <v>2</v>
      </c>
      <c r="W62" s="126">
        <v>2</v>
      </c>
      <c r="X62" s="126">
        <v>2</v>
      </c>
      <c r="Y62" s="121">
        <f t="shared" si="34"/>
        <v>24</v>
      </c>
      <c r="Z62" s="75">
        <v>0</v>
      </c>
      <c r="AA62" s="122" t="s">
        <v>1090</v>
      </c>
      <c r="AB62" s="1378">
        <f t="shared" si="3"/>
        <v>4</v>
      </c>
      <c r="AC62" s="1630">
        <f t="shared" si="26"/>
        <v>1</v>
      </c>
      <c r="AD62" s="1552">
        <v>0</v>
      </c>
      <c r="AE62" s="1630">
        <f aca="true" t="shared" si="41" ref="AE62:AE69">AD62/AB62</f>
        <v>0</v>
      </c>
      <c r="AF62" s="1630">
        <f t="shared" si="35"/>
        <v>0</v>
      </c>
      <c r="AG62" s="1335">
        <f t="shared" si="36"/>
        <v>0</v>
      </c>
      <c r="AH62" s="1335"/>
      <c r="AI62" s="1378"/>
      <c r="AJ62" s="1371"/>
      <c r="AK62" s="1378" t="s">
        <v>1994</v>
      </c>
      <c r="AL62" s="1378"/>
      <c r="AM62" s="1692">
        <f t="shared" si="37"/>
        <v>8</v>
      </c>
      <c r="AN62" s="1699">
        <f t="shared" si="8"/>
        <v>1</v>
      </c>
      <c r="AO62" s="1697">
        <v>0</v>
      </c>
      <c r="AP62" s="1699">
        <f t="shared" si="9"/>
        <v>0</v>
      </c>
      <c r="AQ62" s="1699">
        <f t="shared" si="10"/>
        <v>0</v>
      </c>
      <c r="AR62" s="1699">
        <f t="shared" si="0"/>
        <v>0</v>
      </c>
      <c r="AS62" s="1743">
        <v>0</v>
      </c>
      <c r="AT62" s="1699">
        <v>0</v>
      </c>
      <c r="AU62" s="1692" t="s">
        <v>1995</v>
      </c>
      <c r="AV62" s="1958"/>
      <c r="AW62" s="2231">
        <f t="shared" si="38"/>
        <v>12</v>
      </c>
      <c r="AX62" s="2233">
        <f t="shared" si="12"/>
        <v>1</v>
      </c>
      <c r="AY62" s="2232">
        <v>12</v>
      </c>
      <c r="AZ62" s="2234">
        <v>1</v>
      </c>
      <c r="BA62" s="2234">
        <v>0.5</v>
      </c>
      <c r="BB62" s="2234">
        <v>0.5</v>
      </c>
      <c r="BC62" s="2312">
        <v>0</v>
      </c>
      <c r="BD62" s="1962" t="s">
        <v>1090</v>
      </c>
      <c r="BE62" s="1962" t="s">
        <v>2740</v>
      </c>
      <c r="BF62" s="1962"/>
      <c r="BG62" s="2474">
        <f t="shared" si="39"/>
        <v>16</v>
      </c>
      <c r="BH62" s="2475">
        <f t="shared" si="14"/>
        <v>1</v>
      </c>
      <c r="BI62" s="2476">
        <v>16</v>
      </c>
      <c r="BJ62" s="2475">
        <v>1</v>
      </c>
      <c r="BK62" s="2475"/>
      <c r="BL62" s="2475">
        <f t="shared" si="40"/>
        <v>0.6666666666666666</v>
      </c>
      <c r="BM62" s="2477"/>
      <c r="BN62" s="2475"/>
      <c r="BO62" s="2474" t="s">
        <v>3098</v>
      </c>
      <c r="BP62" s="2480"/>
    </row>
    <row r="63" spans="1:68" s="49" customFormat="1" ht="66.75" customHeight="1" thickBot="1">
      <c r="A63" s="2655"/>
      <c r="B63" s="2655"/>
      <c r="C63" s="2657"/>
      <c r="D63" s="127" t="s">
        <v>205</v>
      </c>
      <c r="E63" s="65" t="s">
        <v>206</v>
      </c>
      <c r="F63" s="65">
        <v>6</v>
      </c>
      <c r="G63" s="65" t="s">
        <v>207</v>
      </c>
      <c r="H63" s="65" t="s">
        <v>185</v>
      </c>
      <c r="I63" s="66">
        <v>0.04</v>
      </c>
      <c r="J63" s="65" t="s">
        <v>204</v>
      </c>
      <c r="K63" s="117">
        <v>42005</v>
      </c>
      <c r="L63" s="117">
        <v>42369</v>
      </c>
      <c r="M63" s="125"/>
      <c r="N63" s="125">
        <v>1</v>
      </c>
      <c r="O63" s="125"/>
      <c r="P63" s="125">
        <v>1</v>
      </c>
      <c r="Q63" s="125"/>
      <c r="R63" s="126">
        <v>1</v>
      </c>
      <c r="S63" s="126"/>
      <c r="T63" s="125">
        <v>1</v>
      </c>
      <c r="U63" s="126"/>
      <c r="V63" s="126">
        <v>1</v>
      </c>
      <c r="W63" s="126"/>
      <c r="X63" s="126">
        <v>1</v>
      </c>
      <c r="Y63" s="121">
        <f t="shared" si="34"/>
        <v>6</v>
      </c>
      <c r="Z63" s="75">
        <v>0</v>
      </c>
      <c r="AA63" s="122" t="s">
        <v>1090</v>
      </c>
      <c r="AB63" s="1378">
        <f t="shared" si="3"/>
        <v>1</v>
      </c>
      <c r="AC63" s="1630">
        <f t="shared" si="26"/>
        <v>1</v>
      </c>
      <c r="AD63" s="1552">
        <v>0</v>
      </c>
      <c r="AE63" s="1630">
        <f t="shared" si="41"/>
        <v>0</v>
      </c>
      <c r="AF63" s="1630">
        <f t="shared" si="35"/>
        <v>0</v>
      </c>
      <c r="AG63" s="1335">
        <f t="shared" si="36"/>
        <v>0</v>
      </c>
      <c r="AH63" s="1335"/>
      <c r="AI63" s="1378"/>
      <c r="AJ63" s="1371"/>
      <c r="AK63" s="1378" t="s">
        <v>1995</v>
      </c>
      <c r="AL63" s="1378"/>
      <c r="AM63" s="1692">
        <f t="shared" si="37"/>
        <v>2</v>
      </c>
      <c r="AN63" s="1699">
        <f t="shared" si="8"/>
        <v>1</v>
      </c>
      <c r="AO63" s="1697">
        <v>0</v>
      </c>
      <c r="AP63" s="1699">
        <f t="shared" si="9"/>
        <v>0</v>
      </c>
      <c r="AQ63" s="1699">
        <f t="shared" si="10"/>
        <v>0</v>
      </c>
      <c r="AR63" s="1699">
        <f t="shared" si="0"/>
        <v>0</v>
      </c>
      <c r="AS63" s="1743">
        <v>0</v>
      </c>
      <c r="AT63" s="1699">
        <v>0</v>
      </c>
      <c r="AU63" s="1692" t="s">
        <v>1996</v>
      </c>
      <c r="AV63" s="1958"/>
      <c r="AW63" s="2231">
        <f t="shared" si="38"/>
        <v>3</v>
      </c>
      <c r="AX63" s="2233">
        <f t="shared" si="12"/>
        <v>1</v>
      </c>
      <c r="AY63" s="2232">
        <v>3</v>
      </c>
      <c r="AZ63" s="2234">
        <v>1</v>
      </c>
      <c r="BA63" s="2234">
        <v>0.5</v>
      </c>
      <c r="BB63" s="2234">
        <v>0.5</v>
      </c>
      <c r="BC63" s="2312">
        <v>0</v>
      </c>
      <c r="BD63" s="1962" t="s">
        <v>1090</v>
      </c>
      <c r="BE63" s="1962" t="s">
        <v>2741</v>
      </c>
      <c r="BF63" s="1962"/>
      <c r="BG63" s="2474">
        <f t="shared" si="39"/>
        <v>4</v>
      </c>
      <c r="BH63" s="2475">
        <f t="shared" si="14"/>
        <v>1</v>
      </c>
      <c r="BI63" s="2476">
        <v>5</v>
      </c>
      <c r="BJ63" s="2475">
        <v>1</v>
      </c>
      <c r="BK63" s="2475"/>
      <c r="BL63" s="2475">
        <f t="shared" si="40"/>
        <v>0.8333333333333334</v>
      </c>
      <c r="BM63" s="2477"/>
      <c r="BN63" s="2475"/>
      <c r="BO63" s="2474" t="s">
        <v>2741</v>
      </c>
      <c r="BP63" s="2480"/>
    </row>
    <row r="64" spans="1:68" s="49" customFormat="1" ht="85.5" customHeight="1" thickBot="1">
      <c r="A64" s="2655"/>
      <c r="B64" s="2655"/>
      <c r="C64" s="2657"/>
      <c r="D64" s="127" t="s">
        <v>208</v>
      </c>
      <c r="E64" s="65" t="s">
        <v>162</v>
      </c>
      <c r="F64" s="65" t="s">
        <v>100</v>
      </c>
      <c r="G64" s="65" t="s">
        <v>209</v>
      </c>
      <c r="H64" s="65" t="s">
        <v>185</v>
      </c>
      <c r="I64" s="66">
        <v>0.04</v>
      </c>
      <c r="J64" s="65" t="s">
        <v>210</v>
      </c>
      <c r="K64" s="117">
        <v>42005</v>
      </c>
      <c r="L64" s="117">
        <v>42369</v>
      </c>
      <c r="M64" s="125"/>
      <c r="N64" s="125"/>
      <c r="O64" s="125"/>
      <c r="P64" s="125"/>
      <c r="Q64" s="125"/>
      <c r="R64" s="126"/>
      <c r="S64" s="126"/>
      <c r="T64" s="125"/>
      <c r="U64" s="126"/>
      <c r="V64" s="126"/>
      <c r="W64" s="126"/>
      <c r="X64" s="126"/>
      <c r="Y64" s="45" t="s">
        <v>100</v>
      </c>
      <c r="Z64" s="75">
        <v>0</v>
      </c>
      <c r="AA64" s="122" t="s">
        <v>1090</v>
      </c>
      <c r="AB64" s="1378" t="s">
        <v>100</v>
      </c>
      <c r="AC64" s="1630">
        <f t="shared" si="26"/>
        <v>1</v>
      </c>
      <c r="AD64" s="1552">
        <v>0</v>
      </c>
      <c r="AE64" s="1630" t="s">
        <v>1090</v>
      </c>
      <c r="AF64" s="1630" t="s">
        <v>1090</v>
      </c>
      <c r="AG64" s="1335" t="str">
        <f t="shared" si="36"/>
        <v>-</v>
      </c>
      <c r="AH64" s="1335"/>
      <c r="AI64" s="1378"/>
      <c r="AJ64" s="1371"/>
      <c r="AK64" s="1378" t="s">
        <v>1996</v>
      </c>
      <c r="AL64" s="1378"/>
      <c r="AM64" s="1692">
        <f t="shared" si="37"/>
        <v>0</v>
      </c>
      <c r="AN64" s="1699">
        <f t="shared" si="8"/>
        <v>0</v>
      </c>
      <c r="AO64" s="1697">
        <v>0</v>
      </c>
      <c r="AP64" s="1699" t="s">
        <v>1090</v>
      </c>
      <c r="AQ64" s="1699" t="s">
        <v>1090</v>
      </c>
      <c r="AR64" s="1699" t="str">
        <f t="shared" si="0"/>
        <v>-</v>
      </c>
      <c r="AS64" s="1743">
        <v>0</v>
      </c>
      <c r="AT64" s="1699">
        <v>0</v>
      </c>
      <c r="AU64" s="1692" t="s">
        <v>1997</v>
      </c>
      <c r="AV64" s="1958"/>
      <c r="AW64" s="2231">
        <f t="shared" si="38"/>
        <v>0</v>
      </c>
      <c r="AX64" s="2233">
        <f t="shared" si="12"/>
        <v>0</v>
      </c>
      <c r="AY64" s="2232" t="s">
        <v>1090</v>
      </c>
      <c r="AZ64" s="2234" t="s">
        <v>1090</v>
      </c>
      <c r="BA64" s="2234" t="s">
        <v>1090</v>
      </c>
      <c r="BB64" s="2234" t="s">
        <v>1090</v>
      </c>
      <c r="BC64" s="2312">
        <v>0</v>
      </c>
      <c r="BD64" s="1962" t="s">
        <v>1090</v>
      </c>
      <c r="BE64" s="1962" t="s">
        <v>2742</v>
      </c>
      <c r="BF64" s="1962"/>
      <c r="BG64" s="2474">
        <f t="shared" si="39"/>
        <v>0</v>
      </c>
      <c r="BH64" s="2475">
        <f t="shared" si="14"/>
        <v>0</v>
      </c>
      <c r="BI64" s="2476" t="s">
        <v>1090</v>
      </c>
      <c r="BJ64" s="2475" t="s">
        <v>1090</v>
      </c>
      <c r="BK64" s="2475"/>
      <c r="BL64" s="2475" t="s">
        <v>1090</v>
      </c>
      <c r="BM64" s="2477"/>
      <c r="BN64" s="2475"/>
      <c r="BO64" s="2474" t="s">
        <v>3099</v>
      </c>
      <c r="BP64" s="2480"/>
    </row>
    <row r="65" spans="1:68" s="49" customFormat="1" ht="81.75" customHeight="1" thickBot="1">
      <c r="A65" s="2655"/>
      <c r="B65" s="2655"/>
      <c r="C65" s="2657"/>
      <c r="D65" s="127" t="s">
        <v>211</v>
      </c>
      <c r="E65" s="65" t="s">
        <v>162</v>
      </c>
      <c r="F65" s="65" t="s">
        <v>100</v>
      </c>
      <c r="G65" s="65" t="s">
        <v>209</v>
      </c>
      <c r="H65" s="65" t="s">
        <v>212</v>
      </c>
      <c r="I65" s="66">
        <v>0.04</v>
      </c>
      <c r="J65" s="65" t="s">
        <v>213</v>
      </c>
      <c r="K65" s="117">
        <v>42005</v>
      </c>
      <c r="L65" s="117">
        <v>42369</v>
      </c>
      <c r="M65" s="125"/>
      <c r="N65" s="125"/>
      <c r="O65" s="125"/>
      <c r="P65" s="125"/>
      <c r="Q65" s="125"/>
      <c r="R65" s="126"/>
      <c r="S65" s="126"/>
      <c r="T65" s="125"/>
      <c r="U65" s="126"/>
      <c r="V65" s="126"/>
      <c r="W65" s="126"/>
      <c r="X65" s="126"/>
      <c r="Y65" s="45" t="s">
        <v>100</v>
      </c>
      <c r="Z65" s="75">
        <v>0</v>
      </c>
      <c r="AA65" s="122" t="s">
        <v>1090</v>
      </c>
      <c r="AB65" s="1378" t="s">
        <v>100</v>
      </c>
      <c r="AC65" s="1630">
        <f t="shared" si="26"/>
        <v>1</v>
      </c>
      <c r="AD65" s="1552">
        <v>0</v>
      </c>
      <c r="AE65" s="1630" t="s">
        <v>1090</v>
      </c>
      <c r="AF65" s="1630" t="s">
        <v>1090</v>
      </c>
      <c r="AG65" s="1335" t="str">
        <f t="shared" si="36"/>
        <v>-</v>
      </c>
      <c r="AH65" s="1335"/>
      <c r="AI65" s="1378"/>
      <c r="AJ65" s="1371"/>
      <c r="AK65" s="1378" t="s">
        <v>1997</v>
      </c>
      <c r="AL65" s="1378"/>
      <c r="AM65" s="1692">
        <f t="shared" si="37"/>
        <v>0</v>
      </c>
      <c r="AN65" s="1699">
        <f t="shared" si="8"/>
        <v>0</v>
      </c>
      <c r="AO65" s="1697">
        <v>0</v>
      </c>
      <c r="AP65" s="1699" t="s">
        <v>1090</v>
      </c>
      <c r="AQ65" s="1699" t="s">
        <v>1090</v>
      </c>
      <c r="AR65" s="1699" t="str">
        <f t="shared" si="0"/>
        <v>-</v>
      </c>
      <c r="AS65" s="1743">
        <v>0</v>
      </c>
      <c r="AT65" s="1699">
        <v>0</v>
      </c>
      <c r="AU65" s="1692" t="s">
        <v>2390</v>
      </c>
      <c r="AV65" s="1958"/>
      <c r="AW65" s="2231">
        <f t="shared" si="38"/>
        <v>0</v>
      </c>
      <c r="AX65" s="2233">
        <f t="shared" si="12"/>
        <v>0</v>
      </c>
      <c r="AY65" s="2232" t="s">
        <v>1090</v>
      </c>
      <c r="AZ65" s="2234" t="s">
        <v>1090</v>
      </c>
      <c r="BA65" s="2234" t="s">
        <v>1090</v>
      </c>
      <c r="BB65" s="2234" t="s">
        <v>1090</v>
      </c>
      <c r="BC65" s="2312">
        <v>0</v>
      </c>
      <c r="BD65" s="1962" t="s">
        <v>1090</v>
      </c>
      <c r="BE65" s="1962" t="s">
        <v>1997</v>
      </c>
      <c r="BF65" s="1962"/>
      <c r="BG65" s="2474">
        <f t="shared" si="39"/>
        <v>0</v>
      </c>
      <c r="BH65" s="2475">
        <f t="shared" si="14"/>
        <v>0</v>
      </c>
      <c r="BI65" s="2476" t="s">
        <v>1090</v>
      </c>
      <c r="BJ65" s="2475" t="s">
        <v>1090</v>
      </c>
      <c r="BK65" s="2475"/>
      <c r="BL65" s="2475" t="s">
        <v>1090</v>
      </c>
      <c r="BM65" s="2477"/>
      <c r="BN65" s="2475"/>
      <c r="BO65" s="2474" t="s">
        <v>3100</v>
      </c>
      <c r="BP65" s="2480"/>
    </row>
    <row r="66" spans="1:68" s="49" customFormat="1" ht="97.5" customHeight="1" thickBot="1">
      <c r="A66" s="2655"/>
      <c r="B66" s="2655"/>
      <c r="C66" s="2657"/>
      <c r="D66" s="127" t="s">
        <v>214</v>
      </c>
      <c r="E66" s="65" t="s">
        <v>62</v>
      </c>
      <c r="F66" s="65">
        <v>12</v>
      </c>
      <c r="G66" s="65" t="s">
        <v>215</v>
      </c>
      <c r="H66" s="65" t="s">
        <v>164</v>
      </c>
      <c r="I66" s="66">
        <v>0.04</v>
      </c>
      <c r="J66" s="65" t="s">
        <v>216</v>
      </c>
      <c r="K66" s="117">
        <v>42005</v>
      </c>
      <c r="L66" s="117">
        <v>42369</v>
      </c>
      <c r="M66" s="128">
        <f>1/12</f>
        <v>0.08333333333333333</v>
      </c>
      <c r="N66" s="128">
        <f>1/12+M66</f>
        <v>0.16666666666666666</v>
      </c>
      <c r="O66" s="128">
        <f aca="true" t="shared" si="42" ref="O66:X66">1/12+N66</f>
        <v>0.25</v>
      </c>
      <c r="P66" s="128">
        <f t="shared" si="42"/>
        <v>0.3333333333333333</v>
      </c>
      <c r="Q66" s="128">
        <f t="shared" si="42"/>
        <v>0.41666666666666663</v>
      </c>
      <c r="R66" s="128">
        <f t="shared" si="42"/>
        <v>0.49999999999999994</v>
      </c>
      <c r="S66" s="128">
        <f t="shared" si="42"/>
        <v>0.5833333333333333</v>
      </c>
      <c r="T66" s="128">
        <f t="shared" si="42"/>
        <v>0.6666666666666666</v>
      </c>
      <c r="U66" s="128">
        <f t="shared" si="42"/>
        <v>0.75</v>
      </c>
      <c r="V66" s="128">
        <f t="shared" si="42"/>
        <v>0.8333333333333334</v>
      </c>
      <c r="W66" s="128">
        <f t="shared" si="42"/>
        <v>0.9166666666666667</v>
      </c>
      <c r="X66" s="128">
        <f t="shared" si="42"/>
        <v>1</v>
      </c>
      <c r="Y66" s="121">
        <v>1</v>
      </c>
      <c r="Z66" s="75">
        <v>0</v>
      </c>
      <c r="AA66" s="122" t="s">
        <v>1090</v>
      </c>
      <c r="AB66" s="1378">
        <f t="shared" si="3"/>
        <v>0.25</v>
      </c>
      <c r="AC66" s="1630">
        <f t="shared" si="26"/>
        <v>1</v>
      </c>
      <c r="AD66" s="1552">
        <v>0</v>
      </c>
      <c r="AE66" s="1630">
        <f t="shared" si="41"/>
        <v>0</v>
      </c>
      <c r="AF66" s="1630">
        <f t="shared" si="35"/>
        <v>0</v>
      </c>
      <c r="AG66" s="1335">
        <f t="shared" si="36"/>
        <v>0</v>
      </c>
      <c r="AH66" s="1335"/>
      <c r="AI66" s="1378"/>
      <c r="AJ66" s="1371"/>
      <c r="AK66" s="1378" t="s">
        <v>1998</v>
      </c>
      <c r="AL66" s="1378"/>
      <c r="AM66" s="1692">
        <f t="shared" si="37"/>
        <v>0.8333333333333333</v>
      </c>
      <c r="AN66" s="1699">
        <f t="shared" si="8"/>
        <v>1</v>
      </c>
      <c r="AO66" s="1697">
        <v>0</v>
      </c>
      <c r="AP66" s="1699">
        <f t="shared" si="9"/>
        <v>0</v>
      </c>
      <c r="AQ66" s="1699">
        <f t="shared" si="10"/>
        <v>0</v>
      </c>
      <c r="AR66" s="1699">
        <f t="shared" si="0"/>
        <v>0</v>
      </c>
      <c r="AS66" s="1743">
        <v>0</v>
      </c>
      <c r="AT66" s="1699">
        <v>0</v>
      </c>
      <c r="AU66" s="1692" t="s">
        <v>1999</v>
      </c>
      <c r="AV66" s="1958"/>
      <c r="AW66" s="2231">
        <f t="shared" si="38"/>
        <v>1.75</v>
      </c>
      <c r="AX66" s="2233">
        <f t="shared" si="12"/>
        <v>1</v>
      </c>
      <c r="AY66" s="2232">
        <v>6</v>
      </c>
      <c r="AZ66" s="2234">
        <v>1</v>
      </c>
      <c r="BA66" s="2234">
        <v>0.5</v>
      </c>
      <c r="BB66" s="2234">
        <v>0.5</v>
      </c>
      <c r="BC66" s="2312">
        <v>0</v>
      </c>
      <c r="BD66" s="1962" t="s">
        <v>1090</v>
      </c>
      <c r="BE66" s="1962" t="s">
        <v>2743</v>
      </c>
      <c r="BF66" s="1962"/>
      <c r="BG66" s="2474">
        <f t="shared" si="39"/>
        <v>2.9999999999999996</v>
      </c>
      <c r="BH66" s="2475">
        <f t="shared" si="14"/>
        <v>1</v>
      </c>
      <c r="BI66" s="2475">
        <v>1</v>
      </c>
      <c r="BJ66" s="2475">
        <v>1</v>
      </c>
      <c r="BK66" s="2475"/>
      <c r="BL66" s="2475" t="s">
        <v>1090</v>
      </c>
      <c r="BM66" s="2477"/>
      <c r="BN66" s="2475"/>
      <c r="BO66" s="2474" t="s">
        <v>3101</v>
      </c>
      <c r="BP66" s="2480"/>
    </row>
    <row r="67" spans="1:68" s="49" customFormat="1" ht="102" customHeight="1" thickBot="1">
      <c r="A67" s="2655"/>
      <c r="B67" s="2655"/>
      <c r="C67" s="2657"/>
      <c r="D67" s="127" t="s">
        <v>217</v>
      </c>
      <c r="E67" s="65" t="s">
        <v>218</v>
      </c>
      <c r="F67" s="65" t="s">
        <v>219</v>
      </c>
      <c r="G67" s="65" t="s">
        <v>220</v>
      </c>
      <c r="H67" s="65" t="s">
        <v>164</v>
      </c>
      <c r="I67" s="66">
        <v>0.04</v>
      </c>
      <c r="J67" s="65" t="s">
        <v>216</v>
      </c>
      <c r="K67" s="117">
        <v>42005</v>
      </c>
      <c r="L67" s="117">
        <v>42369</v>
      </c>
      <c r="M67" s="125"/>
      <c r="N67" s="125"/>
      <c r="O67" s="125"/>
      <c r="P67" s="125"/>
      <c r="Q67" s="125"/>
      <c r="R67" s="126"/>
      <c r="S67" s="126"/>
      <c r="T67" s="125"/>
      <c r="U67" s="126"/>
      <c r="V67" s="126"/>
      <c r="W67" s="126"/>
      <c r="X67" s="126"/>
      <c r="Y67" s="45" t="s">
        <v>100</v>
      </c>
      <c r="Z67" s="75">
        <v>0</v>
      </c>
      <c r="AA67" s="122" t="s">
        <v>1090</v>
      </c>
      <c r="AB67" s="1378" t="s">
        <v>100</v>
      </c>
      <c r="AC67" s="1630">
        <f t="shared" si="26"/>
        <v>1</v>
      </c>
      <c r="AD67" s="1552">
        <v>0</v>
      </c>
      <c r="AE67" s="1630" t="s">
        <v>1090</v>
      </c>
      <c r="AF67" s="1630" t="s">
        <v>1090</v>
      </c>
      <c r="AG67" s="1335" t="str">
        <f t="shared" si="36"/>
        <v>-</v>
      </c>
      <c r="AH67" s="1335"/>
      <c r="AI67" s="1378"/>
      <c r="AJ67" s="1371"/>
      <c r="AK67" s="1378" t="s">
        <v>1999</v>
      </c>
      <c r="AL67" s="1378"/>
      <c r="AM67" s="1692">
        <f t="shared" si="37"/>
        <v>0</v>
      </c>
      <c r="AN67" s="1699">
        <f t="shared" si="8"/>
        <v>0</v>
      </c>
      <c r="AO67" s="1697">
        <v>0</v>
      </c>
      <c r="AP67" s="1699" t="s">
        <v>1090</v>
      </c>
      <c r="AQ67" s="1699" t="s">
        <v>1090</v>
      </c>
      <c r="AR67" s="1699" t="str">
        <f t="shared" si="0"/>
        <v>-</v>
      </c>
      <c r="AS67" s="1743">
        <v>0</v>
      </c>
      <c r="AT67" s="1699">
        <v>0</v>
      </c>
      <c r="AU67" s="1692" t="s">
        <v>2391</v>
      </c>
      <c r="AV67" s="1958"/>
      <c r="AW67" s="2231">
        <f t="shared" si="38"/>
        <v>0</v>
      </c>
      <c r="AX67" s="2233">
        <f t="shared" si="12"/>
        <v>0</v>
      </c>
      <c r="AY67" s="2232" t="s">
        <v>1090</v>
      </c>
      <c r="AZ67" s="2234" t="s">
        <v>1090</v>
      </c>
      <c r="BA67" s="2234" t="s">
        <v>1090</v>
      </c>
      <c r="BB67" s="2234" t="s">
        <v>1090</v>
      </c>
      <c r="BC67" s="2312">
        <v>0</v>
      </c>
      <c r="BD67" s="1962" t="s">
        <v>1090</v>
      </c>
      <c r="BE67" s="1962" t="s">
        <v>2744</v>
      </c>
      <c r="BF67" s="1962"/>
      <c r="BG67" s="2474">
        <f t="shared" si="39"/>
        <v>0</v>
      </c>
      <c r="BH67" s="2475">
        <f t="shared" si="14"/>
        <v>0</v>
      </c>
      <c r="BI67" s="2476" t="s">
        <v>1090</v>
      </c>
      <c r="BJ67" s="2475" t="s">
        <v>1090</v>
      </c>
      <c r="BK67" s="2475"/>
      <c r="BL67" s="2475" t="s">
        <v>1090</v>
      </c>
      <c r="BM67" s="2477"/>
      <c r="BN67" s="2475"/>
      <c r="BO67" s="2474" t="s">
        <v>3102</v>
      </c>
      <c r="BP67" s="2480"/>
    </row>
    <row r="68" spans="1:68" s="49" customFormat="1" ht="77.25" customHeight="1" thickBot="1">
      <c r="A68" s="2655"/>
      <c r="B68" s="2655"/>
      <c r="C68" s="2657"/>
      <c r="D68" s="127" t="s">
        <v>221</v>
      </c>
      <c r="E68" s="65" t="s">
        <v>54</v>
      </c>
      <c r="F68" s="65">
        <v>12</v>
      </c>
      <c r="G68" s="65" t="s">
        <v>73</v>
      </c>
      <c r="H68" s="65" t="s">
        <v>164</v>
      </c>
      <c r="I68" s="66">
        <v>0.04</v>
      </c>
      <c r="J68" s="65" t="s">
        <v>222</v>
      </c>
      <c r="K68" s="117">
        <v>42005</v>
      </c>
      <c r="L68" s="117">
        <v>42369</v>
      </c>
      <c r="M68" s="125">
        <v>1</v>
      </c>
      <c r="N68" s="125">
        <v>1</v>
      </c>
      <c r="O68" s="125">
        <v>1</v>
      </c>
      <c r="P68" s="125">
        <v>1</v>
      </c>
      <c r="Q68" s="125">
        <v>1</v>
      </c>
      <c r="R68" s="125">
        <v>1</v>
      </c>
      <c r="S68" s="125">
        <v>1</v>
      </c>
      <c r="T68" s="125">
        <v>1</v>
      </c>
      <c r="U68" s="125">
        <v>1</v>
      </c>
      <c r="V68" s="125">
        <v>1</v>
      </c>
      <c r="W68" s="125">
        <v>1</v>
      </c>
      <c r="X68" s="125">
        <v>1</v>
      </c>
      <c r="Y68" s="121">
        <f>SUM(M68:X68)</f>
        <v>12</v>
      </c>
      <c r="Z68" s="75">
        <v>0</v>
      </c>
      <c r="AA68" s="122" t="s">
        <v>1090</v>
      </c>
      <c r="AB68" s="1378">
        <f t="shared" si="3"/>
        <v>2</v>
      </c>
      <c r="AC68" s="1630">
        <f t="shared" si="26"/>
        <v>1</v>
      </c>
      <c r="AD68" s="1552">
        <v>0</v>
      </c>
      <c r="AE68" s="1630">
        <f t="shared" si="41"/>
        <v>0</v>
      </c>
      <c r="AF68" s="1630">
        <f t="shared" si="35"/>
        <v>0</v>
      </c>
      <c r="AG68" s="1335">
        <f t="shared" si="36"/>
        <v>0</v>
      </c>
      <c r="AH68" s="1335"/>
      <c r="AI68" s="1378"/>
      <c r="AJ68" s="1371"/>
      <c r="AK68" s="1378" t="s">
        <v>2000</v>
      </c>
      <c r="AL68" s="1378"/>
      <c r="AM68" s="1692">
        <f t="shared" si="37"/>
        <v>4</v>
      </c>
      <c r="AN68" s="1699">
        <f t="shared" si="8"/>
        <v>1</v>
      </c>
      <c r="AO68" s="1697">
        <v>0</v>
      </c>
      <c r="AP68" s="1699">
        <f t="shared" si="9"/>
        <v>0</v>
      </c>
      <c r="AQ68" s="1699">
        <f t="shared" si="10"/>
        <v>0</v>
      </c>
      <c r="AR68" s="1699">
        <f t="shared" si="0"/>
        <v>0</v>
      </c>
      <c r="AS68" s="1743">
        <v>0</v>
      </c>
      <c r="AT68" s="1699">
        <v>0</v>
      </c>
      <c r="AU68" s="1692" t="s">
        <v>2392</v>
      </c>
      <c r="AV68" s="1958"/>
      <c r="AW68" s="2231">
        <f t="shared" si="38"/>
        <v>6</v>
      </c>
      <c r="AX68" s="2233">
        <f t="shared" si="12"/>
        <v>1</v>
      </c>
      <c r="AY68" s="2232">
        <v>6</v>
      </c>
      <c r="AZ68" s="2234">
        <v>1</v>
      </c>
      <c r="BA68" s="2234">
        <v>0.5</v>
      </c>
      <c r="BB68" s="2234">
        <v>0.5</v>
      </c>
      <c r="BC68" s="2312">
        <v>0</v>
      </c>
      <c r="BD68" s="1962" t="s">
        <v>1090</v>
      </c>
      <c r="BE68" s="1962" t="s">
        <v>2745</v>
      </c>
      <c r="BF68" s="1962"/>
      <c r="BG68" s="2474">
        <f t="shared" si="39"/>
        <v>8</v>
      </c>
      <c r="BH68" s="2475">
        <f t="shared" si="14"/>
        <v>1</v>
      </c>
      <c r="BI68" s="2476">
        <v>8</v>
      </c>
      <c r="BJ68" s="2475">
        <v>1</v>
      </c>
      <c r="BK68" s="2475"/>
      <c r="BL68" s="2475">
        <f t="shared" si="40"/>
        <v>0.6666666666666666</v>
      </c>
      <c r="BM68" s="2477"/>
      <c r="BN68" s="2475"/>
      <c r="BO68" s="2474" t="s">
        <v>2745</v>
      </c>
      <c r="BP68" s="2480"/>
    </row>
    <row r="69" spans="1:68" s="49" customFormat="1" ht="138" customHeight="1" thickBot="1">
      <c r="A69" s="2655"/>
      <c r="B69" s="2655"/>
      <c r="C69" s="2657"/>
      <c r="D69" s="127" t="s">
        <v>223</v>
      </c>
      <c r="E69" s="129" t="s">
        <v>54</v>
      </c>
      <c r="F69" s="65">
        <v>12</v>
      </c>
      <c r="G69" s="65" t="s">
        <v>73</v>
      </c>
      <c r="H69" s="65" t="s">
        <v>164</v>
      </c>
      <c r="I69" s="66">
        <v>0.04</v>
      </c>
      <c r="J69" s="65" t="s">
        <v>224</v>
      </c>
      <c r="K69" s="117">
        <v>42005</v>
      </c>
      <c r="L69" s="117">
        <v>42369</v>
      </c>
      <c r="M69" s="125">
        <v>1</v>
      </c>
      <c r="N69" s="125">
        <v>1</v>
      </c>
      <c r="O69" s="125">
        <v>1</v>
      </c>
      <c r="P69" s="125">
        <v>1</v>
      </c>
      <c r="Q69" s="125">
        <v>1</v>
      </c>
      <c r="R69" s="125">
        <v>1</v>
      </c>
      <c r="S69" s="125">
        <v>1</v>
      </c>
      <c r="T69" s="125">
        <v>1</v>
      </c>
      <c r="U69" s="125">
        <v>1</v>
      </c>
      <c r="V69" s="125">
        <v>1</v>
      </c>
      <c r="W69" s="125">
        <v>1</v>
      </c>
      <c r="X69" s="125">
        <v>1</v>
      </c>
      <c r="Y69" s="121">
        <f aca="true" t="shared" si="43" ref="Y69:Y70">SUM(M69:X69)</f>
        <v>12</v>
      </c>
      <c r="Z69" s="75">
        <v>0</v>
      </c>
      <c r="AA69" s="122" t="s">
        <v>1090</v>
      </c>
      <c r="AB69" s="1378">
        <f t="shared" si="3"/>
        <v>2</v>
      </c>
      <c r="AC69" s="1630">
        <f t="shared" si="26"/>
        <v>1</v>
      </c>
      <c r="AD69" s="1552">
        <v>0</v>
      </c>
      <c r="AE69" s="1630">
        <f t="shared" si="41"/>
        <v>0</v>
      </c>
      <c r="AF69" s="1630">
        <f t="shared" si="35"/>
        <v>0</v>
      </c>
      <c r="AG69" s="1335">
        <f t="shared" si="36"/>
        <v>0</v>
      </c>
      <c r="AH69" s="1335"/>
      <c r="AI69" s="1378"/>
      <c r="AJ69" s="1371"/>
      <c r="AK69" s="1378" t="s">
        <v>2001</v>
      </c>
      <c r="AL69" s="1378"/>
      <c r="AM69" s="1692">
        <f t="shared" si="37"/>
        <v>4</v>
      </c>
      <c r="AN69" s="1699">
        <f t="shared" si="8"/>
        <v>1</v>
      </c>
      <c r="AO69" s="1697">
        <v>0</v>
      </c>
      <c r="AP69" s="1699">
        <f t="shared" si="9"/>
        <v>0</v>
      </c>
      <c r="AQ69" s="1699">
        <f t="shared" si="10"/>
        <v>0</v>
      </c>
      <c r="AR69" s="1699">
        <f t="shared" si="0"/>
        <v>0</v>
      </c>
      <c r="AS69" s="1743">
        <v>0</v>
      </c>
      <c r="AT69" s="1699">
        <v>0</v>
      </c>
      <c r="AU69" s="1692" t="s">
        <v>2393</v>
      </c>
      <c r="AV69" s="1958"/>
      <c r="AW69" s="2231">
        <f t="shared" si="38"/>
        <v>6</v>
      </c>
      <c r="AX69" s="2233">
        <f t="shared" si="12"/>
        <v>1</v>
      </c>
      <c r="AY69" s="2232">
        <v>6</v>
      </c>
      <c r="AZ69" s="2234">
        <v>1</v>
      </c>
      <c r="BA69" s="2234">
        <v>0.5</v>
      </c>
      <c r="BB69" s="2234">
        <v>0.5</v>
      </c>
      <c r="BC69" s="2312">
        <v>0</v>
      </c>
      <c r="BD69" s="1962" t="s">
        <v>1090</v>
      </c>
      <c r="BE69" s="1962" t="s">
        <v>2746</v>
      </c>
      <c r="BF69" s="1962"/>
      <c r="BG69" s="2474">
        <f t="shared" si="39"/>
        <v>8</v>
      </c>
      <c r="BH69" s="2475">
        <f t="shared" si="14"/>
        <v>1</v>
      </c>
      <c r="BI69" s="2476">
        <v>8</v>
      </c>
      <c r="BJ69" s="2475">
        <v>1</v>
      </c>
      <c r="BK69" s="2475"/>
      <c r="BL69" s="2475">
        <f t="shared" si="40"/>
        <v>0.6666666666666666</v>
      </c>
      <c r="BM69" s="2477"/>
      <c r="BN69" s="2475"/>
      <c r="BO69" s="2474" t="s">
        <v>3103</v>
      </c>
      <c r="BP69" s="2480"/>
    </row>
    <row r="70" spans="1:68" s="49" customFormat="1" ht="92.25" customHeight="1" thickBot="1">
      <c r="A70" s="2659"/>
      <c r="B70" s="2659"/>
      <c r="C70" s="2664"/>
      <c r="D70" s="127" t="s">
        <v>225</v>
      </c>
      <c r="E70" s="129" t="s">
        <v>54</v>
      </c>
      <c r="F70" s="65" t="s">
        <v>100</v>
      </c>
      <c r="G70" s="65" t="s">
        <v>226</v>
      </c>
      <c r="H70" s="65" t="s">
        <v>164</v>
      </c>
      <c r="I70" s="66">
        <v>0.04</v>
      </c>
      <c r="J70" s="65" t="s">
        <v>227</v>
      </c>
      <c r="K70" s="117">
        <v>42005</v>
      </c>
      <c r="L70" s="117">
        <v>42369</v>
      </c>
      <c r="M70" s="125"/>
      <c r="N70" s="125"/>
      <c r="O70" s="125"/>
      <c r="P70" s="125"/>
      <c r="Q70" s="125"/>
      <c r="R70" s="125"/>
      <c r="S70" s="125"/>
      <c r="T70" s="125"/>
      <c r="U70" s="125"/>
      <c r="V70" s="125"/>
      <c r="W70" s="125"/>
      <c r="X70" s="125"/>
      <c r="Y70" s="121">
        <f t="shared" si="43"/>
        <v>0</v>
      </c>
      <c r="Z70" s="75">
        <v>0</v>
      </c>
      <c r="AA70" s="122" t="s">
        <v>1090</v>
      </c>
      <c r="AB70" s="1378">
        <f t="shared" si="3"/>
        <v>0</v>
      </c>
      <c r="AC70" s="1630">
        <f t="shared" si="26"/>
        <v>0</v>
      </c>
      <c r="AD70" s="1552">
        <v>0</v>
      </c>
      <c r="AE70" s="1630" t="s">
        <v>1090</v>
      </c>
      <c r="AF70" s="1630" t="s">
        <v>1090</v>
      </c>
      <c r="AG70" s="1335" t="str">
        <f t="shared" si="36"/>
        <v>-</v>
      </c>
      <c r="AH70" s="1335"/>
      <c r="AI70" s="1378"/>
      <c r="AJ70" s="1371"/>
      <c r="AK70" s="1378" t="s">
        <v>2002</v>
      </c>
      <c r="AL70" s="1378"/>
      <c r="AM70" s="1692">
        <f t="shared" si="37"/>
        <v>0</v>
      </c>
      <c r="AN70" s="1699">
        <f t="shared" si="8"/>
        <v>0</v>
      </c>
      <c r="AO70" s="1697">
        <v>0</v>
      </c>
      <c r="AP70" s="1699" t="s">
        <v>1090</v>
      </c>
      <c r="AQ70" s="1699" t="e">
        <f t="shared" si="10"/>
        <v>#DIV/0!</v>
      </c>
      <c r="AR70" s="1699" t="str">
        <f t="shared" si="0"/>
        <v>-</v>
      </c>
      <c r="AS70" s="1743">
        <v>0</v>
      </c>
      <c r="AT70" s="1699">
        <v>0</v>
      </c>
      <c r="AU70" s="1692" t="s">
        <v>2393</v>
      </c>
      <c r="AV70" s="1958"/>
      <c r="AW70" s="2231">
        <f t="shared" si="38"/>
        <v>0</v>
      </c>
      <c r="AX70" s="2233">
        <f t="shared" si="12"/>
        <v>0</v>
      </c>
      <c r="AY70" s="2235" t="s">
        <v>1090</v>
      </c>
      <c r="AZ70" s="2236" t="s">
        <v>1090</v>
      </c>
      <c r="BA70" s="2236" t="s">
        <v>1090</v>
      </c>
      <c r="BB70" s="2236" t="s">
        <v>1090</v>
      </c>
      <c r="BC70" s="2312">
        <v>0</v>
      </c>
      <c r="BD70" s="1964" t="s">
        <v>1090</v>
      </c>
      <c r="BE70" s="1964" t="s">
        <v>2393</v>
      </c>
      <c r="BF70" s="1964"/>
      <c r="BG70" s="2474">
        <f t="shared" si="39"/>
        <v>0</v>
      </c>
      <c r="BH70" s="2475">
        <f t="shared" si="14"/>
        <v>0</v>
      </c>
      <c r="BI70" s="2476" t="s">
        <v>1090</v>
      </c>
      <c r="BJ70" s="2475" t="s">
        <v>1090</v>
      </c>
      <c r="BK70" s="2475"/>
      <c r="BL70" s="2475" t="s">
        <v>1090</v>
      </c>
      <c r="BM70" s="2477"/>
      <c r="BN70" s="2475"/>
      <c r="BO70" s="2474" t="s">
        <v>2393</v>
      </c>
      <c r="BP70" s="2480"/>
    </row>
    <row r="71" spans="1:68" s="606" customFormat="1" ht="20.1" customHeight="1" thickBot="1">
      <c r="A71" s="2652" t="s">
        <v>130</v>
      </c>
      <c r="B71" s="2653"/>
      <c r="C71" s="2653"/>
      <c r="D71" s="2654"/>
      <c r="E71" s="1757"/>
      <c r="F71" s="1757"/>
      <c r="G71" s="85"/>
      <c r="H71" s="1757"/>
      <c r="I71" s="93">
        <f>SUM(I46:I70)</f>
        <v>1.0000000000000002</v>
      </c>
      <c r="J71" s="1757"/>
      <c r="K71" s="1757"/>
      <c r="L71" s="1757"/>
      <c r="M71" s="1757"/>
      <c r="N71" s="1757"/>
      <c r="O71" s="1757"/>
      <c r="P71" s="1757"/>
      <c r="Q71" s="1757"/>
      <c r="R71" s="1757"/>
      <c r="S71" s="1757"/>
      <c r="T71" s="1757"/>
      <c r="U71" s="1757"/>
      <c r="V71" s="1757"/>
      <c r="W71" s="1757"/>
      <c r="X71" s="1757"/>
      <c r="Y71" s="87"/>
      <c r="Z71" s="88">
        <f>SUM(Z46:Z68)</f>
        <v>1502505832</v>
      </c>
      <c r="AA71" s="1758"/>
      <c r="AB71" s="1502"/>
      <c r="AC71" s="1501">
        <f>AVERAGEIF(AC46:AC70,"&gt;0")</f>
        <v>1</v>
      </c>
      <c r="AD71" s="1515"/>
      <c r="AE71" s="1501">
        <f>AVERAGE(AE46:AE70)</f>
        <v>0</v>
      </c>
      <c r="AF71" s="1501"/>
      <c r="AG71" s="1545">
        <f>AVERAGE(AG46:AG70)</f>
        <v>0</v>
      </c>
      <c r="AH71" s="1590"/>
      <c r="AI71" s="1291"/>
      <c r="AJ71" s="1291"/>
      <c r="AK71" s="1291"/>
      <c r="AL71" s="1291"/>
      <c r="AM71" s="131"/>
      <c r="AN71" s="1854">
        <f>AVERAGEIF(AN46:AN70,"&gt;0")</f>
        <v>1</v>
      </c>
      <c r="AO71" s="1858"/>
      <c r="AP71" s="1876">
        <f>AVERAGE(AP46:AP70)</f>
        <v>0.3333333333333333</v>
      </c>
      <c r="AQ71" s="131"/>
      <c r="AR71" s="1876">
        <f>AVERAGE(AR46:AR70)</f>
        <v>0.25</v>
      </c>
      <c r="AS71" s="1860"/>
      <c r="AT71" s="131"/>
      <c r="AU71" s="131"/>
      <c r="AV71" s="1960"/>
      <c r="AW71" s="1966"/>
      <c r="AX71" s="2239">
        <v>1</v>
      </c>
      <c r="AY71" s="1967"/>
      <c r="AZ71" s="2237">
        <f>AVERAGE(AZ46:AZ70)</f>
        <v>0.8125</v>
      </c>
      <c r="BA71" s="1967"/>
      <c r="BB71" s="2237">
        <f>AVERAGE(BB46:BB70)</f>
        <v>0.65625</v>
      </c>
      <c r="BC71" s="1967"/>
      <c r="BD71" s="1967"/>
      <c r="BE71" s="1967"/>
      <c r="BF71" s="1968"/>
      <c r="BG71" s="131"/>
      <c r="BH71" s="1854">
        <v>1</v>
      </c>
      <c r="BI71" s="1858"/>
      <c r="BJ71" s="2507">
        <f>AVERAGE(BJ46:BJ70)</f>
        <v>0.9375</v>
      </c>
      <c r="BK71" s="131"/>
      <c r="BL71" s="2507">
        <f>AVERAGE(BL46:BL70)</f>
        <v>0.8555555555555555</v>
      </c>
      <c r="BM71" s="1860"/>
      <c r="BN71" s="131"/>
      <c r="BO71" s="131"/>
      <c r="BP71" s="1960"/>
    </row>
    <row r="72" spans="1:68" s="49" customFormat="1" ht="61.5" customHeight="1" thickBot="1">
      <c r="A72" s="2688">
        <v>5</v>
      </c>
      <c r="B72" s="2720" t="s">
        <v>228</v>
      </c>
      <c r="C72" s="2656" t="s">
        <v>229</v>
      </c>
      <c r="D72" s="94" t="s">
        <v>230</v>
      </c>
      <c r="E72" s="132" t="s">
        <v>231</v>
      </c>
      <c r="F72" s="133">
        <v>2</v>
      </c>
      <c r="G72" s="64" t="s">
        <v>232</v>
      </c>
      <c r="H72" s="134" t="s">
        <v>233</v>
      </c>
      <c r="I72" s="135">
        <f>100%/17</f>
        <v>0.058823529411764705</v>
      </c>
      <c r="J72" s="136" t="s">
        <v>234</v>
      </c>
      <c r="K72" s="62">
        <v>42006</v>
      </c>
      <c r="L72" s="62">
        <v>42024</v>
      </c>
      <c r="M72" s="137">
        <v>2</v>
      </c>
      <c r="N72" s="137"/>
      <c r="O72" s="137"/>
      <c r="P72" s="137"/>
      <c r="Q72" s="137"/>
      <c r="R72" s="137"/>
      <c r="S72" s="137"/>
      <c r="T72" s="137"/>
      <c r="U72" s="138"/>
      <c r="V72" s="138"/>
      <c r="W72" s="138"/>
      <c r="X72" s="138"/>
      <c r="Y72" s="139">
        <f>SUM(M72:X72)</f>
        <v>2</v>
      </c>
      <c r="Z72" s="609">
        <v>0</v>
      </c>
      <c r="AA72" s="122" t="s">
        <v>1090</v>
      </c>
      <c r="AB72" s="1378">
        <f t="shared" si="3"/>
        <v>2</v>
      </c>
      <c r="AC72" s="1630">
        <f t="shared" si="26"/>
        <v>1</v>
      </c>
      <c r="AD72" s="1552">
        <v>4</v>
      </c>
      <c r="AE72" s="1630">
        <f>AD72/AB72</f>
        <v>2</v>
      </c>
      <c r="AF72" s="1630">
        <f>AD72/Y72</f>
        <v>2</v>
      </c>
      <c r="AG72" s="1335">
        <f>AF72</f>
        <v>2</v>
      </c>
      <c r="AH72" s="1335"/>
      <c r="AI72" s="1378"/>
      <c r="AJ72" s="1378"/>
      <c r="AK72" s="1378" t="s">
        <v>2010</v>
      </c>
      <c r="AL72" s="1378"/>
      <c r="AM72" s="1692">
        <f>SUM(M72:P72)</f>
        <v>2</v>
      </c>
      <c r="AN72" s="1699">
        <f t="shared" si="8"/>
        <v>1</v>
      </c>
      <c r="AO72" s="1697">
        <v>0</v>
      </c>
      <c r="AP72" s="1699">
        <f t="shared" si="9"/>
        <v>0</v>
      </c>
      <c r="AQ72" s="1699">
        <f t="shared" si="10"/>
        <v>0</v>
      </c>
      <c r="AR72" s="1699">
        <f t="shared" si="0"/>
        <v>0</v>
      </c>
      <c r="AS72" s="1743">
        <v>0</v>
      </c>
      <c r="AT72" s="1699">
        <v>0</v>
      </c>
      <c r="AU72" s="1692"/>
      <c r="AV72" s="1958"/>
      <c r="AW72" s="2231">
        <f>SUM(M72:R72)</f>
        <v>2</v>
      </c>
      <c r="AX72" s="2233">
        <f t="shared" si="12"/>
        <v>1</v>
      </c>
      <c r="AY72" s="2231">
        <v>2</v>
      </c>
      <c r="AZ72" s="2233">
        <v>1</v>
      </c>
      <c r="BA72" s="2233">
        <v>1</v>
      </c>
      <c r="BB72" s="2233">
        <v>1</v>
      </c>
      <c r="BC72" s="2312">
        <v>0</v>
      </c>
      <c r="BD72" s="1971" t="s">
        <v>1090</v>
      </c>
      <c r="BE72" s="1965"/>
      <c r="BF72" s="1965"/>
      <c r="BG72" s="2474">
        <f>SUM(M72:T72)</f>
        <v>2</v>
      </c>
      <c r="BH72" s="2475">
        <f t="shared" si="14"/>
        <v>1</v>
      </c>
      <c r="BI72" s="2476">
        <v>2</v>
      </c>
      <c r="BJ72" s="2475">
        <v>1</v>
      </c>
      <c r="BK72" s="2475"/>
      <c r="BL72" s="2475">
        <f>BI72/Y72</f>
        <v>1</v>
      </c>
      <c r="BM72" s="2477"/>
      <c r="BN72" s="2475"/>
      <c r="BO72" s="2474"/>
      <c r="BP72" s="2480"/>
    </row>
    <row r="73" spans="1:68" s="49" customFormat="1" ht="74.25" customHeight="1" thickBot="1">
      <c r="A73" s="2689"/>
      <c r="B73" s="2721"/>
      <c r="C73" s="2664"/>
      <c r="D73" s="58" t="s">
        <v>235</v>
      </c>
      <c r="E73" s="132" t="s">
        <v>72</v>
      </c>
      <c r="F73" s="141">
        <v>1</v>
      </c>
      <c r="G73" s="64" t="s">
        <v>73</v>
      </c>
      <c r="H73" s="134" t="s">
        <v>233</v>
      </c>
      <c r="I73" s="135">
        <f aca="true" t="shared" si="44" ref="I73:I88">100%/17</f>
        <v>0.058823529411764705</v>
      </c>
      <c r="J73" s="136" t="s">
        <v>236</v>
      </c>
      <c r="K73" s="62">
        <v>42025</v>
      </c>
      <c r="L73" s="62">
        <v>42369</v>
      </c>
      <c r="M73" s="137"/>
      <c r="N73" s="137"/>
      <c r="O73" s="137"/>
      <c r="P73" s="137"/>
      <c r="Q73" s="137"/>
      <c r="R73" s="137"/>
      <c r="S73" s="137"/>
      <c r="T73" s="137"/>
      <c r="U73" s="138"/>
      <c r="V73" s="138"/>
      <c r="W73" s="138"/>
      <c r="X73" s="138">
        <v>1</v>
      </c>
      <c r="Y73" s="139">
        <f aca="true" t="shared" si="45" ref="Y73:Y79">SUM(M73:X73)</f>
        <v>1</v>
      </c>
      <c r="Z73" s="75">
        <v>0</v>
      </c>
      <c r="AA73" s="122" t="s">
        <v>1090</v>
      </c>
      <c r="AB73" s="1378">
        <f t="shared" si="3"/>
        <v>0</v>
      </c>
      <c r="AC73" s="1630">
        <f t="shared" si="26"/>
        <v>0</v>
      </c>
      <c r="AD73" s="1552">
        <v>0</v>
      </c>
      <c r="AE73" s="1630" t="s">
        <v>1090</v>
      </c>
      <c r="AF73" s="1630">
        <f aca="true" t="shared" si="46" ref="AF73:AF88">AD73/Y73</f>
        <v>0</v>
      </c>
      <c r="AG73" s="1335">
        <f aca="true" t="shared" si="47" ref="AG73:AG88">AF73</f>
        <v>0</v>
      </c>
      <c r="AH73" s="1335"/>
      <c r="AI73" s="1378"/>
      <c r="AJ73" s="1378"/>
      <c r="AK73" s="1378"/>
      <c r="AL73" s="1378"/>
      <c r="AM73" s="1692">
        <f aca="true" t="shared" si="48" ref="AM73:AM88">SUM(M73:P73)</f>
        <v>0</v>
      </c>
      <c r="AN73" s="1699">
        <f t="shared" si="8"/>
        <v>0</v>
      </c>
      <c r="AO73" s="1697">
        <v>0</v>
      </c>
      <c r="AP73" s="1699" t="s">
        <v>1090</v>
      </c>
      <c r="AQ73" s="1699">
        <f t="shared" si="10"/>
        <v>0</v>
      </c>
      <c r="AR73" s="1699">
        <v>0</v>
      </c>
      <c r="AS73" s="1743">
        <v>0</v>
      </c>
      <c r="AT73" s="1699">
        <v>0</v>
      </c>
      <c r="AU73" s="1692"/>
      <c r="AV73" s="1958"/>
      <c r="AW73" s="2231">
        <f aca="true" t="shared" si="49" ref="AW73:AW94">SUM(M73:R73)</f>
        <v>0</v>
      </c>
      <c r="AX73" s="2233">
        <f t="shared" si="12"/>
        <v>0</v>
      </c>
      <c r="AY73" s="2232" t="s">
        <v>1090</v>
      </c>
      <c r="AZ73" s="2234" t="s">
        <v>1090</v>
      </c>
      <c r="BA73" s="2234">
        <v>0</v>
      </c>
      <c r="BB73" s="2234">
        <v>0</v>
      </c>
      <c r="BC73" s="2312">
        <v>0</v>
      </c>
      <c r="BD73" s="1962" t="s">
        <v>1090</v>
      </c>
      <c r="BE73" s="1962"/>
      <c r="BF73" s="1962"/>
      <c r="BG73" s="2474">
        <f aca="true" t="shared" si="50" ref="BG73:BG100">SUM(M73:T73)</f>
        <v>0</v>
      </c>
      <c r="BH73" s="2475">
        <f t="shared" si="14"/>
        <v>0</v>
      </c>
      <c r="BI73" s="2476" t="s">
        <v>1090</v>
      </c>
      <c r="BJ73" s="2475" t="s">
        <v>1090</v>
      </c>
      <c r="BK73" s="2475"/>
      <c r="BL73" s="2475">
        <v>0</v>
      </c>
      <c r="BM73" s="2477"/>
      <c r="BN73" s="2475"/>
      <c r="BO73" s="2474" t="s">
        <v>3104</v>
      </c>
      <c r="BP73" s="2480"/>
    </row>
    <row r="74" spans="1:68" s="49" customFormat="1" ht="59.25" customHeight="1" thickBot="1">
      <c r="A74" s="2689"/>
      <c r="B74" s="2721"/>
      <c r="C74" s="2656" t="s">
        <v>237</v>
      </c>
      <c r="D74" s="82" t="s">
        <v>238</v>
      </c>
      <c r="E74" s="142" t="s">
        <v>72</v>
      </c>
      <c r="F74" s="143">
        <v>1</v>
      </c>
      <c r="G74" s="78" t="s">
        <v>239</v>
      </c>
      <c r="H74" s="65" t="s">
        <v>240</v>
      </c>
      <c r="I74" s="135">
        <f t="shared" si="44"/>
        <v>0.058823529411764705</v>
      </c>
      <c r="J74" s="144" t="s">
        <v>241</v>
      </c>
      <c r="K74" s="145">
        <v>42095</v>
      </c>
      <c r="L74" s="145">
        <v>42124</v>
      </c>
      <c r="M74" s="146"/>
      <c r="N74" s="146"/>
      <c r="O74" s="146"/>
      <c r="P74" s="146">
        <v>1</v>
      </c>
      <c r="Q74" s="146"/>
      <c r="R74" s="146"/>
      <c r="S74" s="146"/>
      <c r="T74" s="146"/>
      <c r="U74" s="147"/>
      <c r="V74" s="147"/>
      <c r="W74" s="147"/>
      <c r="X74" s="147"/>
      <c r="Y74" s="139">
        <f t="shared" si="45"/>
        <v>1</v>
      </c>
      <c r="Z74" s="75">
        <v>0</v>
      </c>
      <c r="AA74" s="122" t="s">
        <v>1090</v>
      </c>
      <c r="AB74" s="1378">
        <f t="shared" si="3"/>
        <v>0</v>
      </c>
      <c r="AC74" s="1630">
        <f t="shared" si="26"/>
        <v>0</v>
      </c>
      <c r="AD74" s="1552">
        <v>0</v>
      </c>
      <c r="AE74" s="1630" t="s">
        <v>1090</v>
      </c>
      <c r="AF74" s="1630">
        <f t="shared" si="46"/>
        <v>0</v>
      </c>
      <c r="AG74" s="1335">
        <f t="shared" si="47"/>
        <v>0</v>
      </c>
      <c r="AH74" s="1591"/>
      <c r="AI74" s="1378"/>
      <c r="AJ74" s="1378"/>
      <c r="AK74" s="1378" t="s">
        <v>2011</v>
      </c>
      <c r="AL74" s="1378"/>
      <c r="AM74" s="1692">
        <f t="shared" si="48"/>
        <v>1</v>
      </c>
      <c r="AN74" s="1699">
        <f t="shared" si="8"/>
        <v>1</v>
      </c>
      <c r="AO74" s="1697">
        <v>0</v>
      </c>
      <c r="AP74" s="1699">
        <f t="shared" si="9"/>
        <v>0</v>
      </c>
      <c r="AQ74" s="1699">
        <f t="shared" si="10"/>
        <v>0</v>
      </c>
      <c r="AR74" s="1699">
        <f t="shared" si="0"/>
        <v>0</v>
      </c>
      <c r="AS74" s="1743">
        <v>0</v>
      </c>
      <c r="AT74" s="1699">
        <v>0</v>
      </c>
      <c r="AU74" s="1692" t="s">
        <v>2394</v>
      </c>
      <c r="AV74" s="1958" t="s">
        <v>2395</v>
      </c>
      <c r="AW74" s="2231">
        <f t="shared" si="49"/>
        <v>1</v>
      </c>
      <c r="AX74" s="2233">
        <f t="shared" si="12"/>
        <v>1</v>
      </c>
      <c r="AY74" s="2232">
        <v>0</v>
      </c>
      <c r="AZ74" s="2234">
        <v>0</v>
      </c>
      <c r="BA74" s="2234">
        <v>0</v>
      </c>
      <c r="BB74" s="2234">
        <v>0</v>
      </c>
      <c r="BC74" s="2312">
        <v>0</v>
      </c>
      <c r="BD74" s="1962" t="s">
        <v>1090</v>
      </c>
      <c r="BE74" s="1962"/>
      <c r="BF74" s="1962" t="s">
        <v>2747</v>
      </c>
      <c r="BG74" s="2474">
        <f t="shared" si="50"/>
        <v>1</v>
      </c>
      <c r="BH74" s="2475">
        <f t="shared" si="14"/>
        <v>1</v>
      </c>
      <c r="BI74" s="2476">
        <v>0</v>
      </c>
      <c r="BJ74" s="2475">
        <v>0</v>
      </c>
      <c r="BK74" s="2475"/>
      <c r="BL74" s="2475">
        <f aca="true" t="shared" si="51" ref="BL74:BL95">BI74/Y74</f>
        <v>0</v>
      </c>
      <c r="BM74" s="2477"/>
      <c r="BN74" s="2475"/>
      <c r="BO74" s="2474" t="s">
        <v>3105</v>
      </c>
      <c r="BP74" s="2480"/>
    </row>
    <row r="75" spans="1:68" s="49" customFormat="1" ht="48.75" customHeight="1" thickBot="1">
      <c r="A75" s="2689"/>
      <c r="B75" s="2721"/>
      <c r="C75" s="2657"/>
      <c r="D75" s="82" t="s">
        <v>242</v>
      </c>
      <c r="E75" s="142" t="s">
        <v>243</v>
      </c>
      <c r="F75" s="52">
        <v>2</v>
      </c>
      <c r="G75" s="78" t="s">
        <v>244</v>
      </c>
      <c r="H75" s="65" t="s">
        <v>56</v>
      </c>
      <c r="I75" s="135">
        <f t="shared" si="44"/>
        <v>0.058823529411764705</v>
      </c>
      <c r="J75" s="144" t="s">
        <v>245</v>
      </c>
      <c r="K75" s="145">
        <v>42156</v>
      </c>
      <c r="L75" s="145">
        <v>42338</v>
      </c>
      <c r="M75" s="146"/>
      <c r="N75" s="146"/>
      <c r="O75" s="146"/>
      <c r="P75" s="146"/>
      <c r="Q75" s="146"/>
      <c r="R75" s="146">
        <v>1</v>
      </c>
      <c r="S75" s="146"/>
      <c r="T75" s="146"/>
      <c r="U75" s="147"/>
      <c r="V75" s="147"/>
      <c r="W75" s="147">
        <v>1</v>
      </c>
      <c r="X75" s="147"/>
      <c r="Y75" s="139">
        <f t="shared" si="45"/>
        <v>2</v>
      </c>
      <c r="Z75" s="75">
        <v>0</v>
      </c>
      <c r="AA75" s="122" t="s">
        <v>1090</v>
      </c>
      <c r="AB75" s="1378">
        <f t="shared" si="3"/>
        <v>0</v>
      </c>
      <c r="AC75" s="1630">
        <f t="shared" si="26"/>
        <v>0</v>
      </c>
      <c r="AD75" s="1552">
        <v>0</v>
      </c>
      <c r="AE75" s="1630" t="s">
        <v>1090</v>
      </c>
      <c r="AF75" s="1630">
        <f t="shared" si="46"/>
        <v>0</v>
      </c>
      <c r="AG75" s="1335">
        <f t="shared" si="47"/>
        <v>0</v>
      </c>
      <c r="AH75" s="1591"/>
      <c r="AI75" s="1378"/>
      <c r="AJ75" s="1378"/>
      <c r="AK75" s="1378"/>
      <c r="AL75" s="1378"/>
      <c r="AM75" s="1692">
        <f t="shared" si="48"/>
        <v>0</v>
      </c>
      <c r="AN75" s="1699">
        <f t="shared" si="8"/>
        <v>0</v>
      </c>
      <c r="AO75" s="1697">
        <v>0</v>
      </c>
      <c r="AP75" s="1699" t="s">
        <v>1090</v>
      </c>
      <c r="AQ75" s="1699">
        <f t="shared" si="10"/>
        <v>0</v>
      </c>
      <c r="AR75" s="1699">
        <v>0</v>
      </c>
      <c r="AS75" s="1743">
        <v>0</v>
      </c>
      <c r="AT75" s="1699">
        <v>0</v>
      </c>
      <c r="AU75" s="1692" t="s">
        <v>2394</v>
      </c>
      <c r="AV75" s="1958" t="s">
        <v>2395</v>
      </c>
      <c r="AW75" s="2231">
        <f t="shared" si="49"/>
        <v>1</v>
      </c>
      <c r="AX75" s="2233">
        <f t="shared" si="12"/>
        <v>1</v>
      </c>
      <c r="AY75" s="2232">
        <v>0</v>
      </c>
      <c r="AZ75" s="2234">
        <v>0</v>
      </c>
      <c r="BA75" s="2234">
        <v>0</v>
      </c>
      <c r="BB75" s="2234">
        <v>0</v>
      </c>
      <c r="BC75" s="2312">
        <v>0</v>
      </c>
      <c r="BD75" s="1962" t="s">
        <v>1090</v>
      </c>
      <c r="BE75" s="1962"/>
      <c r="BF75" s="1962" t="s">
        <v>2747</v>
      </c>
      <c r="BG75" s="2474">
        <f t="shared" si="50"/>
        <v>1</v>
      </c>
      <c r="BH75" s="2475">
        <f t="shared" si="14"/>
        <v>1</v>
      </c>
      <c r="BI75" s="2476">
        <v>0</v>
      </c>
      <c r="BJ75" s="2475">
        <v>0</v>
      </c>
      <c r="BK75" s="2475"/>
      <c r="BL75" s="2475">
        <f t="shared" si="51"/>
        <v>0</v>
      </c>
      <c r="BM75" s="2477"/>
      <c r="BN75" s="2475"/>
      <c r="BO75" s="2474" t="s">
        <v>3105</v>
      </c>
      <c r="BP75" s="2480"/>
    </row>
    <row r="76" spans="1:68" s="49" customFormat="1" ht="64.5" thickBot="1">
      <c r="A76" s="2689"/>
      <c r="B76" s="2721"/>
      <c r="C76" s="2657"/>
      <c r="D76" s="82" t="s">
        <v>246</v>
      </c>
      <c r="E76" s="142" t="s">
        <v>247</v>
      </c>
      <c r="F76" s="52">
        <v>1</v>
      </c>
      <c r="G76" s="78" t="s">
        <v>248</v>
      </c>
      <c r="H76" s="65" t="s">
        <v>56</v>
      </c>
      <c r="I76" s="135">
        <f t="shared" si="44"/>
        <v>0.058823529411764705</v>
      </c>
      <c r="J76" s="144" t="s">
        <v>249</v>
      </c>
      <c r="K76" s="145">
        <v>42186</v>
      </c>
      <c r="L76" s="145">
        <v>42215</v>
      </c>
      <c r="M76" s="146"/>
      <c r="N76" s="146"/>
      <c r="O76" s="146"/>
      <c r="P76" s="146"/>
      <c r="Q76" s="146"/>
      <c r="R76" s="146"/>
      <c r="S76" s="146">
        <v>1</v>
      </c>
      <c r="T76" s="146"/>
      <c r="U76" s="147"/>
      <c r="V76" s="147"/>
      <c r="W76" s="147"/>
      <c r="X76" s="147"/>
      <c r="Y76" s="139">
        <f t="shared" si="45"/>
        <v>1</v>
      </c>
      <c r="Z76" s="75">
        <v>0</v>
      </c>
      <c r="AA76" s="122" t="s">
        <v>1090</v>
      </c>
      <c r="AB76" s="1378">
        <f t="shared" si="3"/>
        <v>0</v>
      </c>
      <c r="AC76" s="1630">
        <f t="shared" si="26"/>
        <v>0</v>
      </c>
      <c r="AD76" s="1552">
        <v>0</v>
      </c>
      <c r="AE76" s="1630" t="s">
        <v>1090</v>
      </c>
      <c r="AF76" s="1630">
        <f t="shared" si="46"/>
        <v>0</v>
      </c>
      <c r="AG76" s="1335">
        <f t="shared" si="47"/>
        <v>0</v>
      </c>
      <c r="AH76" s="1591"/>
      <c r="AI76" s="1378"/>
      <c r="AJ76" s="1378"/>
      <c r="AK76" s="1378"/>
      <c r="AL76" s="1378"/>
      <c r="AM76" s="1692">
        <f t="shared" si="48"/>
        <v>0</v>
      </c>
      <c r="AN76" s="1699">
        <f t="shared" si="8"/>
        <v>0</v>
      </c>
      <c r="AO76" s="1697">
        <v>0</v>
      </c>
      <c r="AP76" s="1699" t="s">
        <v>1090</v>
      </c>
      <c r="AQ76" s="1699">
        <f t="shared" si="10"/>
        <v>0</v>
      </c>
      <c r="AR76" s="1699">
        <v>0</v>
      </c>
      <c r="AS76" s="1743">
        <v>0</v>
      </c>
      <c r="AT76" s="1699">
        <v>0</v>
      </c>
      <c r="AU76" s="1692"/>
      <c r="AV76" s="1958"/>
      <c r="AW76" s="2231">
        <f t="shared" si="49"/>
        <v>0</v>
      </c>
      <c r="AX76" s="2233">
        <f t="shared" si="12"/>
        <v>0</v>
      </c>
      <c r="AY76" s="2232" t="s">
        <v>1090</v>
      </c>
      <c r="AZ76" s="2234" t="s">
        <v>1090</v>
      </c>
      <c r="BA76" s="2234">
        <v>0</v>
      </c>
      <c r="BB76" s="2234">
        <v>0</v>
      </c>
      <c r="BC76" s="2312">
        <v>0</v>
      </c>
      <c r="BD76" s="1962" t="s">
        <v>1090</v>
      </c>
      <c r="BE76" s="1962"/>
      <c r="BF76" s="1962" t="s">
        <v>2747</v>
      </c>
      <c r="BG76" s="2474">
        <f t="shared" si="50"/>
        <v>1</v>
      </c>
      <c r="BH76" s="2475">
        <f t="shared" si="14"/>
        <v>1</v>
      </c>
      <c r="BI76" s="2476"/>
      <c r="BJ76" s="2475">
        <v>0</v>
      </c>
      <c r="BK76" s="2475"/>
      <c r="BL76" s="2475">
        <f t="shared" si="51"/>
        <v>0</v>
      </c>
      <c r="BM76" s="2477"/>
      <c r="BN76" s="2475"/>
      <c r="BO76" s="2474" t="s">
        <v>3105</v>
      </c>
      <c r="BP76" s="2480"/>
    </row>
    <row r="77" spans="1:68" s="49" customFormat="1" ht="45.75" customHeight="1" thickBot="1">
      <c r="A77" s="2689"/>
      <c r="B77" s="2721"/>
      <c r="C77" s="2657"/>
      <c r="D77" s="82" t="s">
        <v>250</v>
      </c>
      <c r="E77" s="142" t="s">
        <v>251</v>
      </c>
      <c r="F77" s="52">
        <v>2</v>
      </c>
      <c r="G77" s="78" t="s">
        <v>252</v>
      </c>
      <c r="H77" s="65" t="s">
        <v>56</v>
      </c>
      <c r="I77" s="135">
        <f t="shared" si="44"/>
        <v>0.058823529411764705</v>
      </c>
      <c r="J77" s="144" t="s">
        <v>253</v>
      </c>
      <c r="K77" s="145">
        <v>42036</v>
      </c>
      <c r="L77" s="145">
        <v>42277</v>
      </c>
      <c r="M77" s="146"/>
      <c r="N77" s="146">
        <v>1</v>
      </c>
      <c r="O77" s="146"/>
      <c r="P77" s="146"/>
      <c r="Q77" s="146"/>
      <c r="R77" s="146"/>
      <c r="S77" s="146"/>
      <c r="T77" s="146"/>
      <c r="U77" s="147">
        <v>1</v>
      </c>
      <c r="V77" s="147"/>
      <c r="W77" s="147"/>
      <c r="X77" s="147"/>
      <c r="Y77" s="139">
        <f t="shared" si="45"/>
        <v>2</v>
      </c>
      <c r="Z77" s="75">
        <v>0</v>
      </c>
      <c r="AA77" s="122" t="s">
        <v>1090</v>
      </c>
      <c r="AB77" s="1378">
        <f t="shared" si="3"/>
        <v>1</v>
      </c>
      <c r="AC77" s="1630">
        <f t="shared" si="26"/>
        <v>1</v>
      </c>
      <c r="AD77" s="1552">
        <v>0</v>
      </c>
      <c r="AE77" s="1630">
        <f aca="true" t="shared" si="52" ref="AE77:AE81">AD77/AB77</f>
        <v>0</v>
      </c>
      <c r="AF77" s="1630">
        <f t="shared" si="46"/>
        <v>0</v>
      </c>
      <c r="AG77" s="1335">
        <f t="shared" si="47"/>
        <v>0</v>
      </c>
      <c r="AH77" s="1591"/>
      <c r="AI77" s="1378"/>
      <c r="AJ77" s="1378"/>
      <c r="AK77" s="1378"/>
      <c r="AL77" s="1378" t="s">
        <v>2003</v>
      </c>
      <c r="AM77" s="1692">
        <f t="shared" si="48"/>
        <v>1</v>
      </c>
      <c r="AN77" s="1699">
        <f t="shared" si="8"/>
        <v>1</v>
      </c>
      <c r="AO77" s="1697">
        <v>0</v>
      </c>
      <c r="AP77" s="1699">
        <f t="shared" si="9"/>
        <v>0</v>
      </c>
      <c r="AQ77" s="1699">
        <f t="shared" si="10"/>
        <v>0</v>
      </c>
      <c r="AR77" s="1699">
        <f t="shared" si="0"/>
        <v>0</v>
      </c>
      <c r="AS77" s="1743">
        <v>0</v>
      </c>
      <c r="AT77" s="1699">
        <v>0</v>
      </c>
      <c r="AU77" s="1692" t="s">
        <v>2396</v>
      </c>
      <c r="AV77" s="1958"/>
      <c r="AW77" s="2231">
        <f t="shared" si="49"/>
        <v>1</v>
      </c>
      <c r="AX77" s="2233">
        <f t="shared" si="12"/>
        <v>1</v>
      </c>
      <c r="AY77" s="2232">
        <v>1</v>
      </c>
      <c r="AZ77" s="2234">
        <v>1</v>
      </c>
      <c r="BA77" s="2234">
        <v>0.5</v>
      </c>
      <c r="BB77" s="2234">
        <v>0.5</v>
      </c>
      <c r="BC77" s="2312">
        <v>0</v>
      </c>
      <c r="BD77" s="1962" t="s">
        <v>1090</v>
      </c>
      <c r="BE77" s="1962"/>
      <c r="BF77" s="1962" t="s">
        <v>2747</v>
      </c>
      <c r="BG77" s="2474">
        <f t="shared" si="50"/>
        <v>1</v>
      </c>
      <c r="BH77" s="2475">
        <f t="shared" si="14"/>
        <v>1</v>
      </c>
      <c r="BI77" s="2476">
        <v>1</v>
      </c>
      <c r="BJ77" s="2475">
        <v>1</v>
      </c>
      <c r="BK77" s="2475"/>
      <c r="BL77" s="2475">
        <f t="shared" si="51"/>
        <v>0.5</v>
      </c>
      <c r="BM77" s="2477"/>
      <c r="BN77" s="2475"/>
      <c r="BO77" s="2474" t="s">
        <v>3105</v>
      </c>
      <c r="BP77" s="2480"/>
    </row>
    <row r="78" spans="1:68" s="49" customFormat="1" ht="91.5" customHeight="1" thickBot="1">
      <c r="A78" s="2689"/>
      <c r="B78" s="2721"/>
      <c r="C78" s="2657"/>
      <c r="D78" s="82" t="s">
        <v>254</v>
      </c>
      <c r="E78" s="142" t="s">
        <v>72</v>
      </c>
      <c r="F78" s="52">
        <v>1</v>
      </c>
      <c r="G78" s="64" t="s">
        <v>73</v>
      </c>
      <c r="H78" s="65" t="s">
        <v>56</v>
      </c>
      <c r="I78" s="135">
        <f t="shared" si="44"/>
        <v>0.058823529411764705</v>
      </c>
      <c r="J78" s="144" t="s">
        <v>255</v>
      </c>
      <c r="K78" s="145">
        <v>42006</v>
      </c>
      <c r="L78" s="145">
        <v>42024</v>
      </c>
      <c r="M78" s="146"/>
      <c r="N78" s="146"/>
      <c r="O78" s="146"/>
      <c r="P78" s="146"/>
      <c r="Q78" s="146"/>
      <c r="R78" s="146"/>
      <c r="S78" s="146"/>
      <c r="T78" s="146"/>
      <c r="U78" s="147"/>
      <c r="V78" s="147"/>
      <c r="W78" s="147"/>
      <c r="X78" s="147"/>
      <c r="Y78" s="139">
        <f t="shared" si="45"/>
        <v>0</v>
      </c>
      <c r="Z78" s="75">
        <v>0</v>
      </c>
      <c r="AA78" s="122" t="s">
        <v>1090</v>
      </c>
      <c r="AB78" s="1378">
        <f t="shared" si="3"/>
        <v>0</v>
      </c>
      <c r="AC78" s="1630">
        <f t="shared" si="26"/>
        <v>0</v>
      </c>
      <c r="AD78" s="1552">
        <v>0</v>
      </c>
      <c r="AE78" s="1630" t="s">
        <v>1090</v>
      </c>
      <c r="AF78" s="1630" t="s">
        <v>1090</v>
      </c>
      <c r="AG78" s="1335" t="str">
        <f t="shared" si="47"/>
        <v>-</v>
      </c>
      <c r="AH78" s="1591"/>
      <c r="AI78" s="1378"/>
      <c r="AJ78" s="1378"/>
      <c r="AK78" s="1378"/>
      <c r="AL78" s="1378"/>
      <c r="AM78" s="1692">
        <f t="shared" si="48"/>
        <v>0</v>
      </c>
      <c r="AN78" s="1699">
        <f t="shared" si="8"/>
        <v>0</v>
      </c>
      <c r="AO78" s="1697">
        <v>0</v>
      </c>
      <c r="AP78" s="1699" t="s">
        <v>1090</v>
      </c>
      <c r="AQ78" s="1699" t="e">
        <f t="shared" si="10"/>
        <v>#DIV/0!</v>
      </c>
      <c r="AR78" s="1699">
        <v>0</v>
      </c>
      <c r="AS78" s="1743">
        <v>0</v>
      </c>
      <c r="AT78" s="1699">
        <v>0</v>
      </c>
      <c r="AU78" s="1692" t="s">
        <v>2397</v>
      </c>
      <c r="AV78" s="1958"/>
      <c r="AW78" s="2231">
        <f t="shared" si="49"/>
        <v>0</v>
      </c>
      <c r="AX78" s="2233">
        <f t="shared" si="12"/>
        <v>0</v>
      </c>
      <c r="AY78" s="2232" t="s">
        <v>1090</v>
      </c>
      <c r="AZ78" s="2234" t="s">
        <v>1090</v>
      </c>
      <c r="BA78" s="2234" t="s">
        <v>1090</v>
      </c>
      <c r="BB78" s="2234" t="s">
        <v>1090</v>
      </c>
      <c r="BC78" s="2312">
        <v>0</v>
      </c>
      <c r="BD78" s="1963" t="s">
        <v>1090</v>
      </c>
      <c r="BE78" s="1963"/>
      <c r="BF78" s="1963"/>
      <c r="BG78" s="2474">
        <f t="shared" si="50"/>
        <v>0</v>
      </c>
      <c r="BH78" s="2475">
        <f t="shared" si="14"/>
        <v>0</v>
      </c>
      <c r="BI78" s="2476" t="s">
        <v>1090</v>
      </c>
      <c r="BJ78" s="2475" t="s">
        <v>1090</v>
      </c>
      <c r="BK78" s="2475"/>
      <c r="BL78" s="2475" t="s">
        <v>1090</v>
      </c>
      <c r="BM78" s="2477"/>
      <c r="BN78" s="2475"/>
      <c r="BO78" s="2474" t="s">
        <v>3106</v>
      </c>
      <c r="BP78" s="2480"/>
    </row>
    <row r="79" spans="1:68" s="49" customFormat="1" ht="57" customHeight="1" thickBot="1">
      <c r="A79" s="2689"/>
      <c r="B79" s="2721"/>
      <c r="C79" s="2657"/>
      <c r="D79" s="82" t="s">
        <v>256</v>
      </c>
      <c r="E79" s="150" t="s">
        <v>62</v>
      </c>
      <c r="F79" s="151">
        <v>4</v>
      </c>
      <c r="G79" s="53" t="s">
        <v>257</v>
      </c>
      <c r="H79" s="65" t="s">
        <v>56</v>
      </c>
      <c r="I79" s="135">
        <f t="shared" si="44"/>
        <v>0.058823529411764705</v>
      </c>
      <c r="J79" s="144" t="s">
        <v>258</v>
      </c>
      <c r="K79" s="145">
        <v>42005</v>
      </c>
      <c r="L79" s="145">
        <v>42369</v>
      </c>
      <c r="M79" s="57"/>
      <c r="N79" s="57"/>
      <c r="O79" s="152">
        <v>1</v>
      </c>
      <c r="P79" s="152"/>
      <c r="Q79" s="152"/>
      <c r="R79" s="152">
        <v>1</v>
      </c>
      <c r="S79" s="152"/>
      <c r="T79" s="152"/>
      <c r="U79" s="152">
        <v>1</v>
      </c>
      <c r="V79" s="152"/>
      <c r="W79" s="152"/>
      <c r="X79" s="152">
        <v>1</v>
      </c>
      <c r="Y79" s="139">
        <f t="shared" si="45"/>
        <v>4</v>
      </c>
      <c r="Z79" s="75">
        <v>0</v>
      </c>
      <c r="AA79" s="122" t="s">
        <v>1090</v>
      </c>
      <c r="AB79" s="1378">
        <f t="shared" si="3"/>
        <v>0</v>
      </c>
      <c r="AC79" s="1630">
        <f t="shared" si="26"/>
        <v>0</v>
      </c>
      <c r="AD79" s="1552">
        <v>0</v>
      </c>
      <c r="AE79" s="1630" t="s">
        <v>1090</v>
      </c>
      <c r="AF79" s="1630">
        <f t="shared" si="46"/>
        <v>0</v>
      </c>
      <c r="AG79" s="1335">
        <f t="shared" si="47"/>
        <v>0</v>
      </c>
      <c r="AH79" s="1335"/>
      <c r="AI79" s="1378"/>
      <c r="AJ79" s="1378"/>
      <c r="AK79" s="1378"/>
      <c r="AL79" s="1378"/>
      <c r="AM79" s="1692">
        <f t="shared" si="48"/>
        <v>1</v>
      </c>
      <c r="AN79" s="1699">
        <f t="shared" si="8"/>
        <v>1</v>
      </c>
      <c r="AO79" s="1697">
        <v>1</v>
      </c>
      <c r="AP79" s="1699">
        <f t="shared" si="9"/>
        <v>1</v>
      </c>
      <c r="AQ79" s="1699">
        <f t="shared" si="10"/>
        <v>0.25</v>
      </c>
      <c r="AR79" s="1699">
        <f t="shared" si="0"/>
        <v>1</v>
      </c>
      <c r="AS79" s="1743">
        <v>0</v>
      </c>
      <c r="AT79" s="1699">
        <v>0</v>
      </c>
      <c r="AU79" s="1692" t="s">
        <v>2398</v>
      </c>
      <c r="AV79" s="1958"/>
      <c r="AW79" s="2231">
        <f t="shared" si="49"/>
        <v>2</v>
      </c>
      <c r="AX79" s="2233">
        <f t="shared" si="12"/>
        <v>1</v>
      </c>
      <c r="AY79" s="2232">
        <v>1</v>
      </c>
      <c r="AZ79" s="2234">
        <v>0.5</v>
      </c>
      <c r="BA79" s="2234">
        <f>AX79/X79</f>
        <v>1</v>
      </c>
      <c r="BB79" s="2234">
        <f>AY79/Y79</f>
        <v>0.25</v>
      </c>
      <c r="BC79" s="2312">
        <v>0</v>
      </c>
      <c r="BD79" s="1963" t="s">
        <v>1090</v>
      </c>
      <c r="BE79" s="1963"/>
      <c r="BF79" s="1963"/>
      <c r="BG79" s="2474">
        <f t="shared" si="50"/>
        <v>2</v>
      </c>
      <c r="BH79" s="2475">
        <f t="shared" si="14"/>
        <v>1</v>
      </c>
      <c r="BI79" s="2476">
        <v>2</v>
      </c>
      <c r="BJ79" s="2475">
        <v>1</v>
      </c>
      <c r="BK79" s="2475"/>
      <c r="BL79" s="2475">
        <f t="shared" si="51"/>
        <v>0.5</v>
      </c>
      <c r="BM79" s="2477"/>
      <c r="BN79" s="2475"/>
      <c r="BO79" s="2474" t="s">
        <v>3106</v>
      </c>
      <c r="BP79" s="2480"/>
    </row>
    <row r="80" spans="1:68" s="49" customFormat="1" ht="50.25" thickBot="1">
      <c r="A80" s="2689"/>
      <c r="B80" s="2721"/>
      <c r="C80" s="2657"/>
      <c r="D80" s="153" t="s">
        <v>259</v>
      </c>
      <c r="E80" s="154" t="s">
        <v>148</v>
      </c>
      <c r="F80" s="102" t="s">
        <v>149</v>
      </c>
      <c r="G80" s="78" t="s">
        <v>150</v>
      </c>
      <c r="H80" s="65" t="s">
        <v>56</v>
      </c>
      <c r="I80" s="135">
        <f t="shared" si="44"/>
        <v>0.058823529411764705</v>
      </c>
      <c r="J80" s="78" t="s">
        <v>260</v>
      </c>
      <c r="K80" s="155">
        <v>42006</v>
      </c>
      <c r="L80" s="56">
        <v>42369</v>
      </c>
      <c r="M80" s="156"/>
      <c r="N80" s="156"/>
      <c r="O80" s="156"/>
      <c r="P80" s="156"/>
      <c r="Q80" s="156"/>
      <c r="R80" s="156"/>
      <c r="S80" s="156"/>
      <c r="T80" s="156"/>
      <c r="U80" s="156"/>
      <c r="V80" s="156"/>
      <c r="W80" s="156"/>
      <c r="X80" s="156"/>
      <c r="Y80" s="102" t="s">
        <v>149</v>
      </c>
      <c r="Z80" s="75">
        <v>0</v>
      </c>
      <c r="AA80" s="122" t="s">
        <v>1090</v>
      </c>
      <c r="AB80" s="1378" t="s">
        <v>149</v>
      </c>
      <c r="AC80" s="1630">
        <f t="shared" si="26"/>
        <v>1</v>
      </c>
      <c r="AD80" s="1552">
        <v>0</v>
      </c>
      <c r="AE80" s="1630" t="s">
        <v>1090</v>
      </c>
      <c r="AF80" s="1630" t="s">
        <v>1090</v>
      </c>
      <c r="AG80" s="1335" t="str">
        <f t="shared" si="47"/>
        <v>-</v>
      </c>
      <c r="AH80" s="1335"/>
      <c r="AI80" s="1378"/>
      <c r="AJ80" s="1378"/>
      <c r="AK80" s="1378"/>
      <c r="AL80" s="1378"/>
      <c r="AM80" s="1692">
        <f t="shared" si="48"/>
        <v>0</v>
      </c>
      <c r="AN80" s="1699">
        <f t="shared" si="8"/>
        <v>0</v>
      </c>
      <c r="AO80" s="1697">
        <v>0</v>
      </c>
      <c r="AP80" s="1699" t="s">
        <v>1090</v>
      </c>
      <c r="AQ80" s="1699" t="s">
        <v>1090</v>
      </c>
      <c r="AR80" s="1699" t="s">
        <v>1090</v>
      </c>
      <c r="AS80" s="1743">
        <v>0</v>
      </c>
      <c r="AT80" s="1699">
        <v>0</v>
      </c>
      <c r="AU80" s="1692" t="s">
        <v>2399</v>
      </c>
      <c r="AV80" s="1958"/>
      <c r="AW80" s="2231">
        <f t="shared" si="49"/>
        <v>0</v>
      </c>
      <c r="AX80" s="2233">
        <f t="shared" si="12"/>
        <v>0</v>
      </c>
      <c r="AY80" s="2232" t="s">
        <v>1090</v>
      </c>
      <c r="AZ80" s="2234" t="s">
        <v>1090</v>
      </c>
      <c r="BA80" s="2234" t="s">
        <v>1090</v>
      </c>
      <c r="BB80" s="2234" t="s">
        <v>1090</v>
      </c>
      <c r="BC80" s="2312">
        <v>0</v>
      </c>
      <c r="BD80" s="1963" t="s">
        <v>1090</v>
      </c>
      <c r="BE80" s="1963" t="s">
        <v>2748</v>
      </c>
      <c r="BF80" s="1963"/>
      <c r="BG80" s="2474">
        <f t="shared" si="50"/>
        <v>0</v>
      </c>
      <c r="BH80" s="2475">
        <f t="shared" si="14"/>
        <v>0</v>
      </c>
      <c r="BI80" s="2476" t="s">
        <v>1090</v>
      </c>
      <c r="BJ80" s="2475" t="s">
        <v>1090</v>
      </c>
      <c r="BK80" s="2475"/>
      <c r="BL80" s="2475" t="s">
        <v>1090</v>
      </c>
      <c r="BM80" s="2477"/>
      <c r="BN80" s="2475"/>
      <c r="BO80" s="2474" t="s">
        <v>3107</v>
      </c>
      <c r="BP80" s="2480"/>
    </row>
    <row r="81" spans="1:68" s="49" customFormat="1" ht="33.75" thickBot="1">
      <c r="A81" s="2689"/>
      <c r="B81" s="2721"/>
      <c r="C81" s="2657"/>
      <c r="D81" s="153" t="s">
        <v>261</v>
      </c>
      <c r="E81" s="150" t="s">
        <v>72</v>
      </c>
      <c r="F81" s="151">
        <v>1</v>
      </c>
      <c r="G81" s="53" t="s">
        <v>262</v>
      </c>
      <c r="H81" s="65" t="s">
        <v>263</v>
      </c>
      <c r="I81" s="135">
        <f t="shared" si="44"/>
        <v>0.058823529411764705</v>
      </c>
      <c r="J81" s="78" t="s">
        <v>264</v>
      </c>
      <c r="K81" s="155">
        <v>42036</v>
      </c>
      <c r="L81" s="56">
        <v>42063</v>
      </c>
      <c r="M81" s="156"/>
      <c r="N81" s="156">
        <v>1</v>
      </c>
      <c r="O81" s="156"/>
      <c r="P81" s="156"/>
      <c r="Q81" s="156"/>
      <c r="R81" s="156"/>
      <c r="S81" s="156"/>
      <c r="T81" s="156"/>
      <c r="U81" s="156"/>
      <c r="V81" s="156"/>
      <c r="W81" s="156"/>
      <c r="X81" s="156"/>
      <c r="Y81" s="102">
        <f>SUM(M81:X81)</f>
        <v>1</v>
      </c>
      <c r="Z81" s="75">
        <v>0</v>
      </c>
      <c r="AA81" s="122" t="s">
        <v>1090</v>
      </c>
      <c r="AB81" s="1378">
        <f aca="true" t="shared" si="53" ref="AB81:AB88">SUM(M81:N81)</f>
        <v>1</v>
      </c>
      <c r="AC81" s="1630">
        <f t="shared" si="26"/>
        <v>1</v>
      </c>
      <c r="AD81" s="1552">
        <v>0</v>
      </c>
      <c r="AE81" s="1630">
        <f t="shared" si="52"/>
        <v>0</v>
      </c>
      <c r="AF81" s="1630">
        <f t="shared" si="46"/>
        <v>0</v>
      </c>
      <c r="AG81" s="1335">
        <f t="shared" si="47"/>
        <v>0</v>
      </c>
      <c r="AH81" s="1335"/>
      <c r="AI81" s="1378"/>
      <c r="AJ81" s="1378"/>
      <c r="AK81" s="1378"/>
      <c r="AL81" s="1378" t="s">
        <v>2004</v>
      </c>
      <c r="AM81" s="1692">
        <f t="shared" si="48"/>
        <v>1</v>
      </c>
      <c r="AN81" s="1699">
        <f aca="true" t="shared" si="54" ref="AN81:AN88">IF(AM81=0,0%,100%)</f>
        <v>1</v>
      </c>
      <c r="AO81" s="1697">
        <v>0</v>
      </c>
      <c r="AP81" s="1699">
        <f aca="true" t="shared" si="55" ref="AP81:AP88">AO81/AM81</f>
        <v>0</v>
      </c>
      <c r="AQ81" s="1699">
        <f aca="true" t="shared" si="56" ref="AQ81:AQ88">AO81/Y81</f>
        <v>0</v>
      </c>
      <c r="AR81" s="1699">
        <f aca="true" t="shared" si="57" ref="AR81:AR88">IF(AN81&gt;0,AP81,"-")</f>
        <v>0</v>
      </c>
      <c r="AS81" s="1743">
        <v>0</v>
      </c>
      <c r="AT81" s="1699">
        <v>0</v>
      </c>
      <c r="AU81" s="1692" t="s">
        <v>2400</v>
      </c>
      <c r="AV81" s="1958" t="s">
        <v>2401</v>
      </c>
      <c r="AW81" s="2231">
        <f t="shared" si="49"/>
        <v>1</v>
      </c>
      <c r="AX81" s="2233">
        <f aca="true" t="shared" si="58" ref="AX81:AX94">IF(AW81=0,0%,100%)</f>
        <v>1</v>
      </c>
      <c r="AY81" s="2232">
        <v>0</v>
      </c>
      <c r="AZ81" s="2234">
        <v>0</v>
      </c>
      <c r="BA81" s="2234">
        <v>0</v>
      </c>
      <c r="BB81" s="2234">
        <v>0</v>
      </c>
      <c r="BC81" s="2312">
        <v>0</v>
      </c>
      <c r="BD81" s="1963" t="s">
        <v>1090</v>
      </c>
      <c r="BE81" s="1963" t="s">
        <v>2749</v>
      </c>
      <c r="BF81" s="1963" t="s">
        <v>2747</v>
      </c>
      <c r="BG81" s="2474">
        <f t="shared" si="50"/>
        <v>1</v>
      </c>
      <c r="BH81" s="2475">
        <f aca="true" t="shared" si="59" ref="BH81:BH100">IF(BG81=0,0%,100%)</f>
        <v>1</v>
      </c>
      <c r="BI81" s="2476">
        <v>0</v>
      </c>
      <c r="BJ81" s="2475">
        <v>0</v>
      </c>
      <c r="BK81" s="2475"/>
      <c r="BL81" s="2475">
        <f t="shared" si="51"/>
        <v>0</v>
      </c>
      <c r="BM81" s="2477"/>
      <c r="BN81" s="2475"/>
      <c r="BO81" s="2474" t="s">
        <v>3108</v>
      </c>
      <c r="BP81" s="2480"/>
    </row>
    <row r="82" spans="1:68" s="49" customFormat="1" ht="39" thickBot="1">
      <c r="A82" s="2689"/>
      <c r="B82" s="2721"/>
      <c r="C82" s="2657"/>
      <c r="D82" s="153" t="s">
        <v>265</v>
      </c>
      <c r="E82" s="150" t="s">
        <v>266</v>
      </c>
      <c r="F82" s="151">
        <v>5</v>
      </c>
      <c r="G82" s="53" t="s">
        <v>267</v>
      </c>
      <c r="H82" s="65" t="s">
        <v>263</v>
      </c>
      <c r="I82" s="135">
        <f t="shared" si="44"/>
        <v>0.058823529411764705</v>
      </c>
      <c r="J82" s="78" t="s">
        <v>268</v>
      </c>
      <c r="K82" s="155">
        <v>42064</v>
      </c>
      <c r="L82" s="56">
        <v>42278</v>
      </c>
      <c r="M82" s="156"/>
      <c r="N82" s="156"/>
      <c r="O82" s="156">
        <v>1</v>
      </c>
      <c r="P82" s="156"/>
      <c r="Q82" s="156"/>
      <c r="R82" s="156"/>
      <c r="S82" s="156"/>
      <c r="T82" s="156"/>
      <c r="U82" s="156"/>
      <c r="V82" s="156">
        <v>1</v>
      </c>
      <c r="W82" s="156"/>
      <c r="X82" s="156"/>
      <c r="Y82" s="102">
        <f aca="true" t="shared" si="60" ref="Y82:Y88">SUM(M82:X82)</f>
        <v>2</v>
      </c>
      <c r="Z82" s="75">
        <v>0</v>
      </c>
      <c r="AA82" s="122" t="s">
        <v>1090</v>
      </c>
      <c r="AB82" s="1378">
        <f t="shared" si="53"/>
        <v>0</v>
      </c>
      <c r="AC82" s="1630">
        <f t="shared" si="26"/>
        <v>0</v>
      </c>
      <c r="AD82" s="1552">
        <v>0</v>
      </c>
      <c r="AE82" s="1630" t="s">
        <v>1090</v>
      </c>
      <c r="AF82" s="1630">
        <f t="shared" si="46"/>
        <v>0</v>
      </c>
      <c r="AG82" s="1335">
        <f t="shared" si="47"/>
        <v>0</v>
      </c>
      <c r="AH82" s="1335"/>
      <c r="AI82" s="1378"/>
      <c r="AJ82" s="1378"/>
      <c r="AK82" s="1378"/>
      <c r="AL82" s="1378"/>
      <c r="AM82" s="1692">
        <f t="shared" si="48"/>
        <v>1</v>
      </c>
      <c r="AN82" s="1699">
        <f t="shared" si="54"/>
        <v>1</v>
      </c>
      <c r="AO82" s="1697">
        <v>0</v>
      </c>
      <c r="AP82" s="1699">
        <f t="shared" si="55"/>
        <v>0</v>
      </c>
      <c r="AQ82" s="1699">
        <f t="shared" si="56"/>
        <v>0</v>
      </c>
      <c r="AR82" s="1699">
        <f t="shared" si="57"/>
        <v>0</v>
      </c>
      <c r="AS82" s="1743">
        <v>0</v>
      </c>
      <c r="AT82" s="1699">
        <v>0</v>
      </c>
      <c r="AU82" s="1692" t="s">
        <v>2400</v>
      </c>
      <c r="AV82" s="1958" t="s">
        <v>2401</v>
      </c>
      <c r="AW82" s="2231">
        <f t="shared" si="49"/>
        <v>1</v>
      </c>
      <c r="AX82" s="2233">
        <f t="shared" si="58"/>
        <v>1</v>
      </c>
      <c r="AY82" s="2232">
        <v>0</v>
      </c>
      <c r="AZ82" s="2234">
        <v>0</v>
      </c>
      <c r="BA82" s="2234">
        <v>0</v>
      </c>
      <c r="BB82" s="2234">
        <v>0</v>
      </c>
      <c r="BC82" s="2312">
        <v>0</v>
      </c>
      <c r="BD82" s="1963" t="s">
        <v>1090</v>
      </c>
      <c r="BE82" s="1963"/>
      <c r="BF82" s="1963" t="s">
        <v>2401</v>
      </c>
      <c r="BG82" s="2474">
        <f t="shared" si="50"/>
        <v>1</v>
      </c>
      <c r="BH82" s="2475">
        <f t="shared" si="59"/>
        <v>1</v>
      </c>
      <c r="BI82" s="2476">
        <v>0</v>
      </c>
      <c r="BJ82" s="2475">
        <v>0</v>
      </c>
      <c r="BK82" s="2475"/>
      <c r="BL82" s="2475">
        <f t="shared" si="51"/>
        <v>0</v>
      </c>
      <c r="BM82" s="2477"/>
      <c r="BN82" s="2475"/>
      <c r="BO82" s="2474" t="s">
        <v>3108</v>
      </c>
      <c r="BP82" s="2480"/>
    </row>
    <row r="83" spans="1:68" s="49" customFormat="1" ht="42" customHeight="1" thickBot="1">
      <c r="A83" s="2689"/>
      <c r="B83" s="2721"/>
      <c r="C83" s="2657"/>
      <c r="D83" s="153" t="s">
        <v>269</v>
      </c>
      <c r="E83" s="150" t="s">
        <v>270</v>
      </c>
      <c r="F83" s="151">
        <v>2</v>
      </c>
      <c r="G83" s="53" t="s">
        <v>271</v>
      </c>
      <c r="H83" s="65" t="s">
        <v>263</v>
      </c>
      <c r="I83" s="135">
        <f t="shared" si="44"/>
        <v>0.058823529411764705</v>
      </c>
      <c r="J83" s="78" t="s">
        <v>272</v>
      </c>
      <c r="K83" s="155">
        <v>42064</v>
      </c>
      <c r="L83" s="56">
        <v>42278</v>
      </c>
      <c r="M83" s="156"/>
      <c r="N83" s="156"/>
      <c r="O83" s="156">
        <v>1</v>
      </c>
      <c r="P83" s="156"/>
      <c r="Q83" s="156"/>
      <c r="R83" s="156"/>
      <c r="S83" s="156"/>
      <c r="T83" s="156"/>
      <c r="U83" s="156"/>
      <c r="V83" s="156">
        <v>1</v>
      </c>
      <c r="W83" s="156"/>
      <c r="X83" s="156"/>
      <c r="Y83" s="102">
        <f t="shared" si="60"/>
        <v>2</v>
      </c>
      <c r="Z83" s="75">
        <v>0</v>
      </c>
      <c r="AA83" s="122" t="s">
        <v>1090</v>
      </c>
      <c r="AB83" s="1378">
        <f t="shared" si="53"/>
        <v>0</v>
      </c>
      <c r="AC83" s="1630">
        <f t="shared" si="26"/>
        <v>0</v>
      </c>
      <c r="AD83" s="1552">
        <v>0</v>
      </c>
      <c r="AE83" s="1630" t="s">
        <v>1090</v>
      </c>
      <c r="AF83" s="1630">
        <f t="shared" si="46"/>
        <v>0</v>
      </c>
      <c r="AG83" s="1335">
        <f t="shared" si="47"/>
        <v>0</v>
      </c>
      <c r="AH83" s="1335"/>
      <c r="AI83" s="1378"/>
      <c r="AJ83" s="1378"/>
      <c r="AK83" s="1378"/>
      <c r="AL83" s="1378"/>
      <c r="AM83" s="1692">
        <f t="shared" si="48"/>
        <v>1</v>
      </c>
      <c r="AN83" s="1699">
        <f t="shared" si="54"/>
        <v>1</v>
      </c>
      <c r="AO83" s="1697">
        <v>0</v>
      </c>
      <c r="AP83" s="1699">
        <f t="shared" si="55"/>
        <v>0</v>
      </c>
      <c r="AQ83" s="1699">
        <f t="shared" si="56"/>
        <v>0</v>
      </c>
      <c r="AR83" s="1699">
        <f t="shared" si="57"/>
        <v>0</v>
      </c>
      <c r="AS83" s="1743">
        <v>0</v>
      </c>
      <c r="AT83" s="1699">
        <v>0</v>
      </c>
      <c r="AU83" s="1692" t="s">
        <v>2400</v>
      </c>
      <c r="AV83" s="1958" t="s">
        <v>2401</v>
      </c>
      <c r="AW83" s="2231">
        <f t="shared" si="49"/>
        <v>1</v>
      </c>
      <c r="AX83" s="2233">
        <f t="shared" si="58"/>
        <v>1</v>
      </c>
      <c r="AY83" s="2232">
        <v>0</v>
      </c>
      <c r="AZ83" s="2234">
        <v>0</v>
      </c>
      <c r="BA83" s="2234">
        <v>0</v>
      </c>
      <c r="BB83" s="2234">
        <v>0</v>
      </c>
      <c r="BC83" s="2312">
        <v>0</v>
      </c>
      <c r="BD83" s="1963" t="s">
        <v>1090</v>
      </c>
      <c r="BE83" s="1963"/>
      <c r="BF83" s="1963" t="s">
        <v>2401</v>
      </c>
      <c r="BG83" s="2474">
        <f t="shared" si="50"/>
        <v>1</v>
      </c>
      <c r="BH83" s="2475">
        <f t="shared" si="59"/>
        <v>1</v>
      </c>
      <c r="BI83" s="2476">
        <v>0</v>
      </c>
      <c r="BJ83" s="2475">
        <v>0</v>
      </c>
      <c r="BK83" s="2475"/>
      <c r="BL83" s="2475">
        <f t="shared" si="51"/>
        <v>0</v>
      </c>
      <c r="BM83" s="2477"/>
      <c r="BN83" s="2475"/>
      <c r="BO83" s="2474" t="s">
        <v>3108</v>
      </c>
      <c r="BP83" s="2480"/>
    </row>
    <row r="84" spans="1:68" s="49" customFormat="1" ht="48" customHeight="1" thickBot="1">
      <c r="A84" s="2689"/>
      <c r="B84" s="2721"/>
      <c r="C84" s="2657"/>
      <c r="D84" s="2034" t="s">
        <v>2547</v>
      </c>
      <c r="E84" s="150" t="s">
        <v>270</v>
      </c>
      <c r="F84" s="151">
        <v>3</v>
      </c>
      <c r="G84" s="53" t="s">
        <v>273</v>
      </c>
      <c r="H84" s="65" t="s">
        <v>263</v>
      </c>
      <c r="I84" s="135">
        <v>0.0434</v>
      </c>
      <c r="J84" s="78" t="s">
        <v>274</v>
      </c>
      <c r="K84" s="155">
        <v>42095</v>
      </c>
      <c r="L84" s="56">
        <v>42124</v>
      </c>
      <c r="M84" s="156"/>
      <c r="N84" s="156"/>
      <c r="O84" s="156"/>
      <c r="P84" s="156">
        <v>3</v>
      </c>
      <c r="Q84" s="156"/>
      <c r="R84" s="156"/>
      <c r="S84" s="156"/>
      <c r="T84" s="156"/>
      <c r="U84" s="156"/>
      <c r="V84" s="156"/>
      <c r="W84" s="156"/>
      <c r="X84" s="156"/>
      <c r="Y84" s="102">
        <f t="shared" si="60"/>
        <v>3</v>
      </c>
      <c r="Z84" s="75">
        <v>0</v>
      </c>
      <c r="AA84" s="122" t="s">
        <v>1090</v>
      </c>
      <c r="AB84" s="1378">
        <f t="shared" si="53"/>
        <v>0</v>
      </c>
      <c r="AC84" s="1630">
        <f t="shared" si="26"/>
        <v>0</v>
      </c>
      <c r="AD84" s="1552">
        <v>0</v>
      </c>
      <c r="AE84" s="1630" t="s">
        <v>1090</v>
      </c>
      <c r="AF84" s="1630">
        <f t="shared" si="46"/>
        <v>0</v>
      </c>
      <c r="AG84" s="1335">
        <f t="shared" si="47"/>
        <v>0</v>
      </c>
      <c r="AH84" s="1335"/>
      <c r="AI84" s="1378"/>
      <c r="AJ84" s="1378"/>
      <c r="AK84" s="1378"/>
      <c r="AL84" s="1378"/>
      <c r="AM84" s="1692">
        <f t="shared" si="48"/>
        <v>3</v>
      </c>
      <c r="AN84" s="1699">
        <f t="shared" si="54"/>
        <v>1</v>
      </c>
      <c r="AO84" s="1697">
        <v>0</v>
      </c>
      <c r="AP84" s="1699">
        <f t="shared" si="55"/>
        <v>0</v>
      </c>
      <c r="AQ84" s="1699">
        <f t="shared" si="56"/>
        <v>0</v>
      </c>
      <c r="AR84" s="1699">
        <f t="shared" si="57"/>
        <v>0</v>
      </c>
      <c r="AS84" s="1743">
        <v>0</v>
      </c>
      <c r="AT84" s="1699">
        <v>0</v>
      </c>
      <c r="AU84" s="1692" t="s">
        <v>2400</v>
      </c>
      <c r="AV84" s="1958" t="s">
        <v>2401</v>
      </c>
      <c r="AW84" s="2231">
        <f t="shared" si="49"/>
        <v>3</v>
      </c>
      <c r="AX84" s="2233">
        <f t="shared" si="58"/>
        <v>1</v>
      </c>
      <c r="AY84" s="2232">
        <v>0</v>
      </c>
      <c r="AZ84" s="2234">
        <v>0</v>
      </c>
      <c r="BA84" s="2234">
        <v>0</v>
      </c>
      <c r="BB84" s="2234">
        <v>0</v>
      </c>
      <c r="BC84" s="2312">
        <v>0</v>
      </c>
      <c r="BD84" s="1963" t="s">
        <v>1090</v>
      </c>
      <c r="BE84" s="1963"/>
      <c r="BF84" s="1963" t="s">
        <v>2401</v>
      </c>
      <c r="BG84" s="2474">
        <f t="shared" si="50"/>
        <v>3</v>
      </c>
      <c r="BH84" s="2475">
        <f t="shared" si="59"/>
        <v>1</v>
      </c>
      <c r="BI84" s="2476">
        <v>3</v>
      </c>
      <c r="BJ84" s="2475">
        <v>1</v>
      </c>
      <c r="BK84" s="2475"/>
      <c r="BL84" s="2475">
        <f t="shared" si="51"/>
        <v>1</v>
      </c>
      <c r="BM84" s="2477"/>
      <c r="BN84" s="2475"/>
      <c r="BO84" s="2474" t="s">
        <v>3109</v>
      </c>
      <c r="BP84" s="2480"/>
    </row>
    <row r="85" spans="1:68" s="49" customFormat="1" ht="45.75" customHeight="1" thickBot="1">
      <c r="A85" s="2689"/>
      <c r="B85" s="2721"/>
      <c r="C85" s="2657"/>
      <c r="D85" s="153" t="s">
        <v>275</v>
      </c>
      <c r="E85" s="150" t="s">
        <v>266</v>
      </c>
      <c r="F85" s="151">
        <v>1</v>
      </c>
      <c r="G85" s="53" t="s">
        <v>276</v>
      </c>
      <c r="H85" s="65" t="s">
        <v>277</v>
      </c>
      <c r="I85" s="135">
        <f t="shared" si="44"/>
        <v>0.058823529411764705</v>
      </c>
      <c r="J85" s="78" t="s">
        <v>278</v>
      </c>
      <c r="K85" s="155">
        <v>42125</v>
      </c>
      <c r="L85" s="56">
        <v>42185</v>
      </c>
      <c r="M85" s="156"/>
      <c r="N85" s="156"/>
      <c r="O85" s="156"/>
      <c r="P85" s="156"/>
      <c r="Q85" s="156">
        <v>1</v>
      </c>
      <c r="R85" s="156"/>
      <c r="S85" s="156"/>
      <c r="T85" s="156"/>
      <c r="U85" s="156"/>
      <c r="V85" s="156"/>
      <c r="W85" s="156"/>
      <c r="X85" s="156"/>
      <c r="Y85" s="102">
        <f t="shared" si="60"/>
        <v>1</v>
      </c>
      <c r="Z85" s="75">
        <v>0</v>
      </c>
      <c r="AA85" s="122" t="s">
        <v>1090</v>
      </c>
      <c r="AB85" s="1378">
        <f t="shared" si="53"/>
        <v>0</v>
      </c>
      <c r="AC85" s="1630">
        <f t="shared" si="26"/>
        <v>0</v>
      </c>
      <c r="AD85" s="1552">
        <v>0</v>
      </c>
      <c r="AE85" s="1630" t="s">
        <v>1090</v>
      </c>
      <c r="AF85" s="1630">
        <f t="shared" si="46"/>
        <v>0</v>
      </c>
      <c r="AG85" s="1335">
        <f t="shared" si="47"/>
        <v>0</v>
      </c>
      <c r="AH85" s="1335"/>
      <c r="AI85" s="1378"/>
      <c r="AJ85" s="1378"/>
      <c r="AK85" s="1378"/>
      <c r="AL85" s="1378"/>
      <c r="AM85" s="1692">
        <f t="shared" si="48"/>
        <v>0</v>
      </c>
      <c r="AN85" s="1699">
        <f t="shared" si="54"/>
        <v>0</v>
      </c>
      <c r="AO85" s="1697">
        <v>0</v>
      </c>
      <c r="AP85" s="1699" t="s">
        <v>1090</v>
      </c>
      <c r="AQ85" s="1699">
        <f t="shared" si="56"/>
        <v>0</v>
      </c>
      <c r="AR85" s="1699">
        <v>0</v>
      </c>
      <c r="AS85" s="1743">
        <v>0</v>
      </c>
      <c r="AT85" s="1699">
        <v>0</v>
      </c>
      <c r="AU85" s="1692"/>
      <c r="AV85" s="1958"/>
      <c r="AW85" s="2231">
        <f t="shared" si="49"/>
        <v>1</v>
      </c>
      <c r="AX85" s="2233">
        <f t="shared" si="58"/>
        <v>1</v>
      </c>
      <c r="AY85" s="2232">
        <v>0</v>
      </c>
      <c r="AZ85" s="2234">
        <v>0</v>
      </c>
      <c r="BA85" s="2234">
        <v>0</v>
      </c>
      <c r="BB85" s="2234">
        <v>0</v>
      </c>
      <c r="BC85" s="2312">
        <v>0</v>
      </c>
      <c r="BD85" s="1963" t="s">
        <v>1090</v>
      </c>
      <c r="BE85" s="1963"/>
      <c r="BF85" s="1963"/>
      <c r="BG85" s="2474">
        <f t="shared" si="50"/>
        <v>1</v>
      </c>
      <c r="BH85" s="2475">
        <f t="shared" si="59"/>
        <v>1</v>
      </c>
      <c r="BI85" s="2476">
        <v>0</v>
      </c>
      <c r="BJ85" s="2475">
        <v>0</v>
      </c>
      <c r="BK85" s="2475"/>
      <c r="BL85" s="2475">
        <f t="shared" si="51"/>
        <v>0</v>
      </c>
      <c r="BM85" s="2477"/>
      <c r="BN85" s="2475"/>
      <c r="BO85" s="2474" t="s">
        <v>3108</v>
      </c>
      <c r="BP85" s="2480"/>
    </row>
    <row r="86" spans="1:68" s="49" customFormat="1" ht="65.25" customHeight="1" thickBot="1">
      <c r="A86" s="2689"/>
      <c r="B86" s="2721"/>
      <c r="C86" s="2657"/>
      <c r="D86" s="153" t="s">
        <v>279</v>
      </c>
      <c r="E86" s="150"/>
      <c r="F86" s="151">
        <v>1</v>
      </c>
      <c r="G86" s="53" t="s">
        <v>280</v>
      </c>
      <c r="H86" s="65" t="s">
        <v>277</v>
      </c>
      <c r="I86" s="135">
        <f t="shared" si="44"/>
        <v>0.058823529411764705</v>
      </c>
      <c r="J86" s="78" t="s">
        <v>281</v>
      </c>
      <c r="K86" s="155">
        <v>42125</v>
      </c>
      <c r="L86" s="56">
        <v>42185</v>
      </c>
      <c r="M86" s="156"/>
      <c r="N86" s="156"/>
      <c r="O86" s="156"/>
      <c r="P86" s="156"/>
      <c r="Q86" s="156">
        <v>1</v>
      </c>
      <c r="R86" s="156"/>
      <c r="S86" s="156"/>
      <c r="T86" s="156"/>
      <c r="U86" s="156"/>
      <c r="V86" s="156"/>
      <c r="W86" s="156"/>
      <c r="X86" s="156"/>
      <c r="Y86" s="102">
        <f t="shared" si="60"/>
        <v>1</v>
      </c>
      <c r="Z86" s="75">
        <v>0</v>
      </c>
      <c r="AA86" s="122" t="s">
        <v>1090</v>
      </c>
      <c r="AB86" s="1378">
        <f t="shared" si="53"/>
        <v>0</v>
      </c>
      <c r="AC86" s="1630">
        <f t="shared" si="26"/>
        <v>0</v>
      </c>
      <c r="AD86" s="1552">
        <v>0</v>
      </c>
      <c r="AE86" s="1630" t="s">
        <v>1090</v>
      </c>
      <c r="AF86" s="1630">
        <f t="shared" si="46"/>
        <v>0</v>
      </c>
      <c r="AG86" s="1335">
        <f t="shared" si="47"/>
        <v>0</v>
      </c>
      <c r="AH86" s="1335"/>
      <c r="AI86" s="1378"/>
      <c r="AJ86" s="1378"/>
      <c r="AK86" s="1378"/>
      <c r="AL86" s="1378"/>
      <c r="AM86" s="1692">
        <f t="shared" si="48"/>
        <v>0</v>
      </c>
      <c r="AN86" s="1699">
        <f t="shared" si="54"/>
        <v>0</v>
      </c>
      <c r="AO86" s="1697">
        <v>0</v>
      </c>
      <c r="AP86" s="1699" t="s">
        <v>1090</v>
      </c>
      <c r="AQ86" s="1699">
        <f t="shared" si="56"/>
        <v>0</v>
      </c>
      <c r="AR86" s="1699">
        <v>0</v>
      </c>
      <c r="AS86" s="1743">
        <v>0</v>
      </c>
      <c r="AT86" s="1699">
        <v>0</v>
      </c>
      <c r="AU86" s="1692"/>
      <c r="AV86" s="1958"/>
      <c r="AW86" s="2231">
        <f t="shared" si="49"/>
        <v>1</v>
      </c>
      <c r="AX86" s="2233">
        <f t="shared" si="58"/>
        <v>1</v>
      </c>
      <c r="AY86" s="2232">
        <v>0</v>
      </c>
      <c r="AZ86" s="2234">
        <v>0</v>
      </c>
      <c r="BA86" s="2234">
        <v>0</v>
      </c>
      <c r="BB86" s="2234">
        <v>0</v>
      </c>
      <c r="BC86" s="2312">
        <v>0</v>
      </c>
      <c r="BD86" s="1963" t="s">
        <v>1090</v>
      </c>
      <c r="BE86" s="1963"/>
      <c r="BF86" s="1963"/>
      <c r="BG86" s="2474">
        <f t="shared" si="50"/>
        <v>1</v>
      </c>
      <c r="BH86" s="2475">
        <f t="shared" si="59"/>
        <v>1</v>
      </c>
      <c r="BI86" s="2476">
        <v>0</v>
      </c>
      <c r="BJ86" s="2475">
        <v>0</v>
      </c>
      <c r="BK86" s="2475"/>
      <c r="BL86" s="2475">
        <f t="shared" si="51"/>
        <v>0</v>
      </c>
      <c r="BM86" s="2477"/>
      <c r="BN86" s="2475"/>
      <c r="BO86" s="2474" t="s">
        <v>3110</v>
      </c>
      <c r="BP86" s="2480"/>
    </row>
    <row r="87" spans="1:68" s="49" customFormat="1" ht="72" customHeight="1" thickBot="1">
      <c r="A87" s="2689"/>
      <c r="B87" s="2721"/>
      <c r="C87" s="2657"/>
      <c r="D87" s="153" t="s">
        <v>282</v>
      </c>
      <c r="E87" s="150" t="s">
        <v>283</v>
      </c>
      <c r="F87" s="151">
        <v>2</v>
      </c>
      <c r="G87" s="53" t="s">
        <v>284</v>
      </c>
      <c r="H87" s="65" t="s">
        <v>263</v>
      </c>
      <c r="I87" s="135">
        <f t="shared" si="44"/>
        <v>0.058823529411764705</v>
      </c>
      <c r="J87" s="78" t="s">
        <v>285</v>
      </c>
      <c r="K87" s="155">
        <v>42125</v>
      </c>
      <c r="L87" s="56">
        <v>42338</v>
      </c>
      <c r="M87" s="156"/>
      <c r="N87" s="156"/>
      <c r="O87" s="156"/>
      <c r="P87" s="156"/>
      <c r="Q87" s="156">
        <v>1</v>
      </c>
      <c r="R87" s="1856">
        <v>1</v>
      </c>
      <c r="S87" s="156"/>
      <c r="T87" s="156"/>
      <c r="U87" s="156"/>
      <c r="V87" s="156"/>
      <c r="W87" s="156">
        <v>1</v>
      </c>
      <c r="X87" s="1856">
        <v>1</v>
      </c>
      <c r="Y87" s="102">
        <f t="shared" si="60"/>
        <v>4</v>
      </c>
      <c r="Z87" s="75">
        <v>0</v>
      </c>
      <c r="AA87" s="122" t="s">
        <v>1090</v>
      </c>
      <c r="AB87" s="1378">
        <f t="shared" si="53"/>
        <v>0</v>
      </c>
      <c r="AC87" s="1630">
        <f t="shared" si="26"/>
        <v>0</v>
      </c>
      <c r="AD87" s="1552">
        <v>0</v>
      </c>
      <c r="AE87" s="1630" t="s">
        <v>1090</v>
      </c>
      <c r="AF87" s="1630">
        <f t="shared" si="46"/>
        <v>0</v>
      </c>
      <c r="AG87" s="1335">
        <f t="shared" si="47"/>
        <v>0</v>
      </c>
      <c r="AH87" s="1335"/>
      <c r="AI87" s="1378"/>
      <c r="AJ87" s="1378"/>
      <c r="AK87" s="1378"/>
      <c r="AL87" s="1378"/>
      <c r="AM87" s="1692">
        <f t="shared" si="48"/>
        <v>0</v>
      </c>
      <c r="AN87" s="1699">
        <f t="shared" si="54"/>
        <v>0</v>
      </c>
      <c r="AO87" s="1697">
        <v>0</v>
      </c>
      <c r="AP87" s="1699" t="s">
        <v>1090</v>
      </c>
      <c r="AQ87" s="1699">
        <f t="shared" si="56"/>
        <v>0</v>
      </c>
      <c r="AR87" s="1699">
        <v>0</v>
      </c>
      <c r="AS87" s="1743">
        <v>0</v>
      </c>
      <c r="AT87" s="1699">
        <v>0</v>
      </c>
      <c r="AU87" s="1692"/>
      <c r="AV87" s="1958"/>
      <c r="AW87" s="2231">
        <f t="shared" si="49"/>
        <v>2</v>
      </c>
      <c r="AX87" s="2233">
        <f t="shared" si="58"/>
        <v>1</v>
      </c>
      <c r="AY87" s="2232">
        <v>2</v>
      </c>
      <c r="AZ87" s="2234">
        <v>1</v>
      </c>
      <c r="BA87" s="2234">
        <v>0.5</v>
      </c>
      <c r="BB87" s="2234">
        <v>0.5</v>
      </c>
      <c r="BC87" s="2312">
        <v>0</v>
      </c>
      <c r="BD87" s="1963" t="s">
        <v>1090</v>
      </c>
      <c r="BE87" s="1963" t="s">
        <v>2750</v>
      </c>
      <c r="BF87" s="1963"/>
      <c r="BG87" s="2474">
        <f t="shared" si="50"/>
        <v>2</v>
      </c>
      <c r="BH87" s="2475">
        <f t="shared" si="59"/>
        <v>1</v>
      </c>
      <c r="BI87" s="2476">
        <v>2</v>
      </c>
      <c r="BJ87" s="2475">
        <v>1</v>
      </c>
      <c r="BK87" s="2475"/>
      <c r="BL87" s="2475">
        <f t="shared" si="51"/>
        <v>0.5</v>
      </c>
      <c r="BM87" s="2477"/>
      <c r="BN87" s="2475"/>
      <c r="BO87" s="2474" t="s">
        <v>3111</v>
      </c>
      <c r="BP87" s="2480"/>
    </row>
    <row r="88" spans="1:68" s="49" customFormat="1" ht="132.75" thickBot="1">
      <c r="A88" s="2689"/>
      <c r="B88" s="2721"/>
      <c r="C88" s="2657"/>
      <c r="D88" s="153" t="s">
        <v>286</v>
      </c>
      <c r="E88" s="150" t="s">
        <v>287</v>
      </c>
      <c r="F88" s="151">
        <v>4</v>
      </c>
      <c r="G88" s="53" t="s">
        <v>288</v>
      </c>
      <c r="H88" s="65" t="s">
        <v>263</v>
      </c>
      <c r="I88" s="135">
        <f t="shared" si="44"/>
        <v>0.058823529411764705</v>
      </c>
      <c r="J88" s="78" t="s">
        <v>289</v>
      </c>
      <c r="K88" s="155">
        <v>42005</v>
      </c>
      <c r="L88" s="56">
        <v>42369</v>
      </c>
      <c r="M88" s="156"/>
      <c r="N88" s="156"/>
      <c r="O88" s="156">
        <v>1</v>
      </c>
      <c r="P88" s="156"/>
      <c r="Q88" s="156"/>
      <c r="R88" s="156">
        <v>1</v>
      </c>
      <c r="S88" s="156"/>
      <c r="T88" s="156"/>
      <c r="U88" s="156">
        <v>1</v>
      </c>
      <c r="V88" s="156"/>
      <c r="W88" s="156"/>
      <c r="X88" s="156">
        <v>1</v>
      </c>
      <c r="Y88" s="102">
        <f t="shared" si="60"/>
        <v>4</v>
      </c>
      <c r="Z88" s="75">
        <v>0</v>
      </c>
      <c r="AA88" s="122" t="s">
        <v>1090</v>
      </c>
      <c r="AB88" s="1378">
        <f t="shared" si="53"/>
        <v>0</v>
      </c>
      <c r="AC88" s="1630">
        <f t="shared" si="26"/>
        <v>0</v>
      </c>
      <c r="AD88" s="1552">
        <v>0</v>
      </c>
      <c r="AE88" s="1630" t="s">
        <v>1090</v>
      </c>
      <c r="AF88" s="1630">
        <f t="shared" si="46"/>
        <v>0</v>
      </c>
      <c r="AG88" s="1335">
        <f t="shared" si="47"/>
        <v>0</v>
      </c>
      <c r="AH88" s="1335"/>
      <c r="AI88" s="1378"/>
      <c r="AJ88" s="1378"/>
      <c r="AK88" s="1378"/>
      <c r="AL88" s="1378"/>
      <c r="AM88" s="1692">
        <f t="shared" si="48"/>
        <v>1</v>
      </c>
      <c r="AN88" s="1699">
        <f t="shared" si="54"/>
        <v>1</v>
      </c>
      <c r="AO88" s="1697">
        <v>1</v>
      </c>
      <c r="AP88" s="1699">
        <f t="shared" si="55"/>
        <v>1</v>
      </c>
      <c r="AQ88" s="1699">
        <f t="shared" si="56"/>
        <v>0.25</v>
      </c>
      <c r="AR88" s="1699">
        <f t="shared" si="57"/>
        <v>1</v>
      </c>
      <c r="AS88" s="1743">
        <v>0</v>
      </c>
      <c r="AT88" s="1699">
        <v>0</v>
      </c>
      <c r="AU88" s="1692" t="s">
        <v>2402</v>
      </c>
      <c r="AV88" s="1958"/>
      <c r="AW88" s="2231">
        <f t="shared" si="49"/>
        <v>2</v>
      </c>
      <c r="AX88" s="2233">
        <f t="shared" si="58"/>
        <v>1</v>
      </c>
      <c r="AY88" s="2235">
        <v>0</v>
      </c>
      <c r="AZ88" s="2236">
        <v>0</v>
      </c>
      <c r="BA88" s="2236">
        <v>0</v>
      </c>
      <c r="BB88" s="2236">
        <v>0</v>
      </c>
      <c r="BC88" s="2312">
        <v>0</v>
      </c>
      <c r="BD88" s="1970" t="s">
        <v>1090</v>
      </c>
      <c r="BE88" s="1970" t="s">
        <v>2751</v>
      </c>
      <c r="BF88" s="1970"/>
      <c r="BG88" s="2474">
        <f t="shared" si="50"/>
        <v>2</v>
      </c>
      <c r="BH88" s="2475">
        <f t="shared" si="59"/>
        <v>1</v>
      </c>
      <c r="BI88" s="2476">
        <v>2</v>
      </c>
      <c r="BJ88" s="2475">
        <v>1</v>
      </c>
      <c r="BK88" s="2475"/>
      <c r="BL88" s="2475">
        <f t="shared" si="51"/>
        <v>0.5</v>
      </c>
      <c r="BM88" s="2477"/>
      <c r="BN88" s="2475"/>
      <c r="BO88" s="2474" t="s">
        <v>3112</v>
      </c>
      <c r="BP88" s="2480"/>
    </row>
    <row r="89" spans="1:68" s="49" customFormat="1" ht="51.75" customHeight="1" thickBot="1">
      <c r="A89" s="2689"/>
      <c r="B89" s="2721"/>
      <c r="C89" s="2657"/>
      <c r="D89" s="2039" t="s">
        <v>2548</v>
      </c>
      <c r="E89" s="2005" t="s">
        <v>2519</v>
      </c>
      <c r="F89" s="2040">
        <v>2</v>
      </c>
      <c r="G89" s="2015" t="s">
        <v>128</v>
      </c>
      <c r="H89" s="2041" t="s">
        <v>263</v>
      </c>
      <c r="I89" s="135">
        <v>0.0434</v>
      </c>
      <c r="J89" s="2005" t="s">
        <v>2520</v>
      </c>
      <c r="K89" s="2008">
        <v>42005</v>
      </c>
      <c r="L89" s="2008">
        <v>42369</v>
      </c>
      <c r="M89" s="2042"/>
      <c r="N89" s="2042"/>
      <c r="O89" s="2042"/>
      <c r="P89" s="2042"/>
      <c r="Q89" s="2042"/>
      <c r="R89" s="2042">
        <v>1</v>
      </c>
      <c r="S89" s="2042"/>
      <c r="T89" s="2042"/>
      <c r="U89" s="2042"/>
      <c r="V89" s="2042"/>
      <c r="W89" s="2042"/>
      <c r="X89" s="2042">
        <v>1</v>
      </c>
      <c r="Y89" s="2043">
        <v>2</v>
      </c>
      <c r="Z89" s="2044"/>
      <c r="AA89" s="2038"/>
      <c r="AB89" s="1378"/>
      <c r="AC89" s="1630"/>
      <c r="AD89" s="1552"/>
      <c r="AE89" s="1630"/>
      <c r="AF89" s="1630"/>
      <c r="AG89" s="1335"/>
      <c r="AH89" s="1335"/>
      <c r="AI89" s="1378"/>
      <c r="AJ89" s="1378"/>
      <c r="AK89" s="1378"/>
      <c r="AL89" s="1378"/>
      <c r="AM89" s="1692"/>
      <c r="AN89" s="1699"/>
      <c r="AO89" s="1697"/>
      <c r="AP89" s="1699"/>
      <c r="AQ89" s="1699"/>
      <c r="AR89" s="1699"/>
      <c r="AS89" s="1743"/>
      <c r="AT89" s="1699"/>
      <c r="AU89" s="1692"/>
      <c r="AV89" s="1958"/>
      <c r="AW89" s="2231">
        <f t="shared" si="49"/>
        <v>1</v>
      </c>
      <c r="AX89" s="2233">
        <f t="shared" si="58"/>
        <v>1</v>
      </c>
      <c r="AY89" s="2232"/>
      <c r="AZ89" s="2234" t="s">
        <v>1090</v>
      </c>
      <c r="BA89" s="2234" t="s">
        <v>1090</v>
      </c>
      <c r="BB89" s="2234" t="s">
        <v>1090</v>
      </c>
      <c r="BC89" s="2312">
        <v>0</v>
      </c>
      <c r="BD89" s="1963" t="s">
        <v>1090</v>
      </c>
      <c r="BE89" s="1963"/>
      <c r="BF89" s="1963"/>
      <c r="BG89" s="2474">
        <f t="shared" si="50"/>
        <v>1</v>
      </c>
      <c r="BH89" s="2475">
        <f t="shared" si="59"/>
        <v>1</v>
      </c>
      <c r="BI89" s="2476">
        <v>1</v>
      </c>
      <c r="BJ89" s="2475">
        <v>1</v>
      </c>
      <c r="BK89" s="2475"/>
      <c r="BL89" s="2475">
        <f t="shared" si="51"/>
        <v>0.5</v>
      </c>
      <c r="BM89" s="2477"/>
      <c r="BN89" s="2475"/>
      <c r="BO89" s="2474" t="s">
        <v>3113</v>
      </c>
      <c r="BP89" s="2480"/>
    </row>
    <row r="90" spans="1:68" s="49" customFormat="1" ht="72" customHeight="1" thickBot="1">
      <c r="A90" s="2907"/>
      <c r="B90" s="2722"/>
      <c r="C90" s="2664"/>
      <c r="D90" s="2045" t="s">
        <v>2549</v>
      </c>
      <c r="E90" s="1993" t="s">
        <v>2550</v>
      </c>
      <c r="F90" s="1994">
        <v>1</v>
      </c>
      <c r="G90" s="1995" t="s">
        <v>2551</v>
      </c>
      <c r="H90" s="1996" t="s">
        <v>263</v>
      </c>
      <c r="I90" s="135">
        <v>0.0434</v>
      </c>
      <c r="J90" s="1995" t="s">
        <v>2551</v>
      </c>
      <c r="K90" s="1997">
        <v>42005</v>
      </c>
      <c r="L90" s="1997">
        <v>42198</v>
      </c>
      <c r="M90" s="2046"/>
      <c r="N90" s="2046"/>
      <c r="O90" s="2046"/>
      <c r="P90" s="2046"/>
      <c r="Q90" s="2046"/>
      <c r="R90" s="2042">
        <v>1</v>
      </c>
      <c r="S90" s="2046"/>
      <c r="T90" s="2046"/>
      <c r="U90" s="2046"/>
      <c r="V90" s="2046"/>
      <c r="W90" s="2046"/>
      <c r="X90" s="2046"/>
      <c r="Y90" s="2043">
        <v>1</v>
      </c>
      <c r="Z90" s="2047"/>
      <c r="AA90" s="2048"/>
      <c r="AB90" s="1378"/>
      <c r="AC90" s="1630"/>
      <c r="AD90" s="1552"/>
      <c r="AE90" s="1630"/>
      <c r="AF90" s="1630"/>
      <c r="AG90" s="1335"/>
      <c r="AH90" s="1335"/>
      <c r="AI90" s="1378"/>
      <c r="AJ90" s="1378"/>
      <c r="AK90" s="1378"/>
      <c r="AL90" s="1378"/>
      <c r="AM90" s="1692"/>
      <c r="AN90" s="1699"/>
      <c r="AO90" s="1697"/>
      <c r="AP90" s="1699"/>
      <c r="AQ90" s="1699"/>
      <c r="AR90" s="1699"/>
      <c r="AS90" s="1743"/>
      <c r="AT90" s="1699"/>
      <c r="AU90" s="1692"/>
      <c r="AV90" s="1958"/>
      <c r="AW90" s="2231">
        <f t="shared" si="49"/>
        <v>1</v>
      </c>
      <c r="AX90" s="2233">
        <f t="shared" si="58"/>
        <v>1</v>
      </c>
      <c r="AY90" s="2232"/>
      <c r="AZ90" s="2234" t="s">
        <v>1090</v>
      </c>
      <c r="BA90" s="2234" t="s">
        <v>1090</v>
      </c>
      <c r="BB90" s="2234" t="s">
        <v>1090</v>
      </c>
      <c r="BC90" s="2312">
        <v>0</v>
      </c>
      <c r="BD90" s="1963" t="s">
        <v>1090</v>
      </c>
      <c r="BE90" s="1963"/>
      <c r="BF90" s="1963"/>
      <c r="BG90" s="2474">
        <f t="shared" si="50"/>
        <v>1</v>
      </c>
      <c r="BH90" s="2475">
        <f t="shared" si="59"/>
        <v>1</v>
      </c>
      <c r="BI90" s="2476">
        <v>0</v>
      </c>
      <c r="BJ90" s="2475">
        <v>0</v>
      </c>
      <c r="BK90" s="2475"/>
      <c r="BL90" s="2475">
        <f t="shared" si="51"/>
        <v>0</v>
      </c>
      <c r="BM90" s="2477"/>
      <c r="BN90" s="2475"/>
      <c r="BO90" s="2474" t="s">
        <v>3108</v>
      </c>
      <c r="BP90" s="2480"/>
    </row>
    <row r="91" spans="1:68" s="49" customFormat="1" ht="72" customHeight="1" thickBot="1">
      <c r="A91" s="2035"/>
      <c r="B91" s="2036"/>
      <c r="C91" s="2037"/>
      <c r="D91" s="2045" t="s">
        <v>2552</v>
      </c>
      <c r="E91" s="1993" t="s">
        <v>2553</v>
      </c>
      <c r="F91" s="2049">
        <v>1</v>
      </c>
      <c r="G91" s="2050" t="s">
        <v>128</v>
      </c>
      <c r="H91" s="1993" t="s">
        <v>2554</v>
      </c>
      <c r="I91" s="135">
        <v>0.0434</v>
      </c>
      <c r="J91" s="2050" t="s">
        <v>2555</v>
      </c>
      <c r="K91" s="1997">
        <v>42095</v>
      </c>
      <c r="L91" s="1997">
        <v>42338</v>
      </c>
      <c r="M91" s="2046"/>
      <c r="N91" s="2046"/>
      <c r="O91" s="2046"/>
      <c r="P91" s="2042">
        <v>1</v>
      </c>
      <c r="Q91" s="2042">
        <v>1</v>
      </c>
      <c r="R91" s="2042">
        <v>1</v>
      </c>
      <c r="S91" s="2042">
        <v>1</v>
      </c>
      <c r="T91" s="2042">
        <v>1</v>
      </c>
      <c r="U91" s="2042">
        <v>1</v>
      </c>
      <c r="V91" s="2042">
        <v>1</v>
      </c>
      <c r="W91" s="2042">
        <v>1</v>
      </c>
      <c r="X91" s="2046"/>
      <c r="Y91" s="2043">
        <v>8</v>
      </c>
      <c r="Z91" s="2047"/>
      <c r="AA91" s="2048"/>
      <c r="AB91" s="1378"/>
      <c r="AC91" s="1630"/>
      <c r="AD91" s="1552"/>
      <c r="AE91" s="1630"/>
      <c r="AF91" s="1630"/>
      <c r="AG91" s="1335"/>
      <c r="AH91" s="1335"/>
      <c r="AI91" s="1378"/>
      <c r="AJ91" s="1378"/>
      <c r="AK91" s="1378"/>
      <c r="AL91" s="1378"/>
      <c r="AM91" s="1692"/>
      <c r="AN91" s="1699"/>
      <c r="AO91" s="1697"/>
      <c r="AP91" s="1699"/>
      <c r="AQ91" s="1699"/>
      <c r="AR91" s="1699"/>
      <c r="AS91" s="1743"/>
      <c r="AT91" s="1699"/>
      <c r="AU91" s="1692"/>
      <c r="AV91" s="1958"/>
      <c r="AW91" s="2231">
        <f t="shared" si="49"/>
        <v>3</v>
      </c>
      <c r="AX91" s="2233">
        <f t="shared" si="58"/>
        <v>1</v>
      </c>
      <c r="AY91" s="2232"/>
      <c r="AZ91" s="2234" t="s">
        <v>1090</v>
      </c>
      <c r="BA91" s="2234" t="s">
        <v>1090</v>
      </c>
      <c r="BB91" s="2234" t="s">
        <v>1090</v>
      </c>
      <c r="BC91" s="2312">
        <v>0</v>
      </c>
      <c r="BD91" s="1963" t="s">
        <v>1090</v>
      </c>
      <c r="BE91" s="1963"/>
      <c r="BF91" s="1963"/>
      <c r="BG91" s="2474">
        <f t="shared" si="50"/>
        <v>5</v>
      </c>
      <c r="BH91" s="2475">
        <f t="shared" si="59"/>
        <v>1</v>
      </c>
      <c r="BI91" s="2476">
        <v>0</v>
      </c>
      <c r="BJ91" s="2475">
        <v>0</v>
      </c>
      <c r="BK91" s="2475"/>
      <c r="BL91" s="2475">
        <f t="shared" si="51"/>
        <v>0</v>
      </c>
      <c r="BM91" s="2477"/>
      <c r="BN91" s="2475"/>
      <c r="BO91" s="2474" t="s">
        <v>3114</v>
      </c>
      <c r="BP91" s="2480"/>
    </row>
    <row r="92" spans="1:68" s="49" customFormat="1" ht="88.5" customHeight="1" thickBot="1">
      <c r="A92" s="2035"/>
      <c r="B92" s="2036"/>
      <c r="C92" s="2037"/>
      <c r="D92" s="2051" t="s">
        <v>2556</v>
      </c>
      <c r="E92" s="2051" t="s">
        <v>2557</v>
      </c>
      <c r="F92" s="2006">
        <v>3</v>
      </c>
      <c r="G92" s="2007" t="s">
        <v>2558</v>
      </c>
      <c r="H92" s="2005" t="s">
        <v>263</v>
      </c>
      <c r="I92" s="135">
        <v>0.0434</v>
      </c>
      <c r="J92" s="2007" t="s">
        <v>2559</v>
      </c>
      <c r="K92" s="2008">
        <v>42005</v>
      </c>
      <c r="L92" s="2008">
        <v>42217</v>
      </c>
      <c r="M92" s="2052"/>
      <c r="N92" s="2052"/>
      <c r="O92" s="2052"/>
      <c r="P92" s="2052"/>
      <c r="Q92" s="2052"/>
      <c r="R92" s="2053"/>
      <c r="S92" s="2052"/>
      <c r="T92" s="2053">
        <v>3</v>
      </c>
      <c r="U92" s="2052"/>
      <c r="V92" s="2052"/>
      <c r="W92" s="2052"/>
      <c r="X92" s="2052"/>
      <c r="Y92" s="2054">
        <v>3</v>
      </c>
      <c r="Z92" s="2055"/>
      <c r="AA92" s="2056"/>
      <c r="AB92" s="1378"/>
      <c r="AC92" s="1630"/>
      <c r="AD92" s="1552"/>
      <c r="AE92" s="1630"/>
      <c r="AF92" s="1630"/>
      <c r="AG92" s="1335"/>
      <c r="AH92" s="1335"/>
      <c r="AI92" s="1378"/>
      <c r="AJ92" s="1378"/>
      <c r="AK92" s="1378"/>
      <c r="AL92" s="1378"/>
      <c r="AM92" s="1692"/>
      <c r="AN92" s="1699"/>
      <c r="AO92" s="1697"/>
      <c r="AP92" s="1699"/>
      <c r="AQ92" s="1699"/>
      <c r="AR92" s="1699"/>
      <c r="AS92" s="1743"/>
      <c r="AT92" s="1699"/>
      <c r="AU92" s="1692"/>
      <c r="AV92" s="1958"/>
      <c r="AW92" s="2231">
        <f t="shared" si="49"/>
        <v>0</v>
      </c>
      <c r="AX92" s="2233">
        <f t="shared" si="58"/>
        <v>0</v>
      </c>
      <c r="AY92" s="2232"/>
      <c r="AZ92" s="2234" t="s">
        <v>1090</v>
      </c>
      <c r="BA92" s="2234" t="s">
        <v>1090</v>
      </c>
      <c r="BB92" s="2234" t="s">
        <v>1090</v>
      </c>
      <c r="BC92" s="2312">
        <v>0</v>
      </c>
      <c r="BD92" s="1963" t="s">
        <v>1090</v>
      </c>
      <c r="BE92" s="1963"/>
      <c r="BF92" s="1963"/>
      <c r="BG92" s="2474">
        <f t="shared" si="50"/>
        <v>3</v>
      </c>
      <c r="BH92" s="2475">
        <f t="shared" si="59"/>
        <v>1</v>
      </c>
      <c r="BI92" s="2476">
        <v>0</v>
      </c>
      <c r="BJ92" s="2475">
        <v>0</v>
      </c>
      <c r="BK92" s="2475"/>
      <c r="BL92" s="2475">
        <f t="shared" si="51"/>
        <v>0</v>
      </c>
      <c r="BM92" s="2477"/>
      <c r="BN92" s="2475"/>
      <c r="BO92" s="2474" t="s">
        <v>3115</v>
      </c>
      <c r="BP92" s="2480"/>
    </row>
    <row r="93" spans="1:68" s="49" customFormat="1" ht="92.25" customHeight="1" thickBot="1">
      <c r="A93" s="2035"/>
      <c r="B93" s="2036"/>
      <c r="C93" s="2037"/>
      <c r="D93" s="2051" t="s">
        <v>2560</v>
      </c>
      <c r="E93" s="2051" t="s">
        <v>2561</v>
      </c>
      <c r="F93" s="2006">
        <v>3</v>
      </c>
      <c r="G93" s="2007" t="s">
        <v>2562</v>
      </c>
      <c r="H93" s="2005" t="s">
        <v>2554</v>
      </c>
      <c r="I93" s="135">
        <v>0.0434</v>
      </c>
      <c r="J93" s="2007" t="s">
        <v>2563</v>
      </c>
      <c r="K93" s="2008">
        <v>42095</v>
      </c>
      <c r="L93" s="2008">
        <v>42369</v>
      </c>
      <c r="M93" s="2063"/>
      <c r="N93" s="2063"/>
      <c r="O93" s="2063"/>
      <c r="P93" s="2063"/>
      <c r="Q93" s="2063"/>
      <c r="R93" s="2063"/>
      <c r="S93" s="2063"/>
      <c r="T93" s="2063"/>
      <c r="U93" s="2063"/>
      <c r="V93" s="2063"/>
      <c r="W93" s="2063"/>
      <c r="X93" s="2063"/>
      <c r="Y93" s="2057"/>
      <c r="Z93" s="2055"/>
      <c r="AA93" s="2056"/>
      <c r="AB93" s="2018"/>
      <c r="AC93" s="1630"/>
      <c r="AD93" s="1552"/>
      <c r="AE93" s="1630"/>
      <c r="AF93" s="1630"/>
      <c r="AG93" s="1335"/>
      <c r="AH93" s="1335"/>
      <c r="AI93" s="1378"/>
      <c r="AJ93" s="1378"/>
      <c r="AK93" s="1378"/>
      <c r="AL93" s="1378"/>
      <c r="AM93" s="1692"/>
      <c r="AN93" s="1699"/>
      <c r="AO93" s="1697"/>
      <c r="AP93" s="1699"/>
      <c r="AQ93" s="1699"/>
      <c r="AR93" s="1699"/>
      <c r="AS93" s="1743"/>
      <c r="AT93" s="1699"/>
      <c r="AU93" s="1692"/>
      <c r="AV93" s="1958"/>
      <c r="AW93" s="2231">
        <f t="shared" si="49"/>
        <v>0</v>
      </c>
      <c r="AX93" s="2233">
        <f t="shared" si="58"/>
        <v>0</v>
      </c>
      <c r="AY93" s="2232"/>
      <c r="AZ93" s="2234" t="s">
        <v>1090</v>
      </c>
      <c r="BA93" s="2234" t="s">
        <v>1090</v>
      </c>
      <c r="BB93" s="2234" t="s">
        <v>1090</v>
      </c>
      <c r="BC93" s="2312">
        <v>0</v>
      </c>
      <c r="BD93" s="1963" t="s">
        <v>1090</v>
      </c>
      <c r="BE93" s="1963"/>
      <c r="BF93" s="1963"/>
      <c r="BG93" s="2474">
        <f t="shared" si="50"/>
        <v>0</v>
      </c>
      <c r="BH93" s="2475">
        <f t="shared" si="59"/>
        <v>0</v>
      </c>
      <c r="BI93" s="2476" t="s">
        <v>1090</v>
      </c>
      <c r="BJ93" s="2475" t="s">
        <v>1090</v>
      </c>
      <c r="BK93" s="2475"/>
      <c r="BL93" s="2475" t="s">
        <v>1090</v>
      </c>
      <c r="BM93" s="2477"/>
      <c r="BN93" s="2475"/>
      <c r="BO93" s="2474" t="s">
        <v>3116</v>
      </c>
      <c r="BP93" s="2480"/>
    </row>
    <row r="94" spans="1:68" s="49" customFormat="1" ht="72" customHeight="1" thickBot="1">
      <c r="A94" s="2035"/>
      <c r="B94" s="2036"/>
      <c r="C94" s="482"/>
      <c r="D94" s="2490" t="s">
        <v>2564</v>
      </c>
      <c r="E94" s="2051" t="s">
        <v>2553</v>
      </c>
      <c r="F94" s="2006"/>
      <c r="G94" s="2007" t="s">
        <v>128</v>
      </c>
      <c r="H94" s="2005" t="s">
        <v>2554</v>
      </c>
      <c r="I94" s="135">
        <v>0.0434</v>
      </c>
      <c r="J94" s="2058" t="s">
        <v>2555</v>
      </c>
      <c r="K94" s="2059">
        <v>42095</v>
      </c>
      <c r="L94" s="2059">
        <v>42338</v>
      </c>
      <c r="M94" s="2060"/>
      <c r="N94" s="2060"/>
      <c r="O94" s="2060"/>
      <c r="P94" s="2061">
        <v>1</v>
      </c>
      <c r="Q94" s="2061">
        <v>1</v>
      </c>
      <c r="R94" s="2061">
        <v>1</v>
      </c>
      <c r="S94" s="2061">
        <v>1</v>
      </c>
      <c r="T94" s="2061">
        <v>1</v>
      </c>
      <c r="U94" s="2061">
        <v>1</v>
      </c>
      <c r="V94" s="2061">
        <v>1</v>
      </c>
      <c r="W94" s="2061">
        <v>1</v>
      </c>
      <c r="X94" s="2060"/>
      <c r="Y94" s="2062">
        <v>8</v>
      </c>
      <c r="Z94" s="2055"/>
      <c r="AA94" s="2056"/>
      <c r="AB94" s="2018"/>
      <c r="AC94" s="1630"/>
      <c r="AD94" s="1552"/>
      <c r="AE94" s="1630"/>
      <c r="AF94" s="1630"/>
      <c r="AG94" s="1335"/>
      <c r="AH94" s="1335"/>
      <c r="AI94" s="1378"/>
      <c r="AJ94" s="1378"/>
      <c r="AK94" s="1378"/>
      <c r="AL94" s="1378"/>
      <c r="AM94" s="1692"/>
      <c r="AN94" s="1699"/>
      <c r="AO94" s="1697"/>
      <c r="AP94" s="1699"/>
      <c r="AQ94" s="1699"/>
      <c r="AR94" s="1699"/>
      <c r="AS94" s="1743"/>
      <c r="AT94" s="1699"/>
      <c r="AU94" s="1692"/>
      <c r="AV94" s="1958"/>
      <c r="AW94" s="2231">
        <f t="shared" si="49"/>
        <v>3</v>
      </c>
      <c r="AX94" s="2233">
        <f t="shared" si="58"/>
        <v>1</v>
      </c>
      <c r="AY94" s="2232"/>
      <c r="AZ94" s="2234" t="s">
        <v>1090</v>
      </c>
      <c r="BA94" s="2234" t="s">
        <v>1090</v>
      </c>
      <c r="BB94" s="2234" t="s">
        <v>1090</v>
      </c>
      <c r="BC94" s="2312">
        <v>0</v>
      </c>
      <c r="BD94" s="1963" t="s">
        <v>1090</v>
      </c>
      <c r="BE94" s="1963"/>
      <c r="BF94" s="1963"/>
      <c r="BG94" s="2474">
        <f t="shared" si="50"/>
        <v>5</v>
      </c>
      <c r="BH94" s="2475">
        <f t="shared" si="59"/>
        <v>1</v>
      </c>
      <c r="BI94" s="2476">
        <v>1</v>
      </c>
      <c r="BJ94" s="2475">
        <f>BI94/BG94</f>
        <v>0.2</v>
      </c>
      <c r="BK94" s="2475"/>
      <c r="BL94" s="2475">
        <f t="shared" si="51"/>
        <v>0.125</v>
      </c>
      <c r="BM94" s="2477"/>
      <c r="BN94" s="2475"/>
      <c r="BO94" s="2474" t="s">
        <v>3117</v>
      </c>
      <c r="BP94" s="2480"/>
    </row>
    <row r="95" spans="1:68" s="211" customFormat="1" ht="67.5" customHeight="1" thickBot="1">
      <c r="A95" s="2472"/>
      <c r="B95" s="2471"/>
      <c r="C95" s="2656" t="s">
        <v>466</v>
      </c>
      <c r="D95" s="2107" t="s">
        <v>467</v>
      </c>
      <c r="E95" s="2481" t="s">
        <v>72</v>
      </c>
      <c r="F95" s="2482">
        <v>1</v>
      </c>
      <c r="G95" s="2483" t="s">
        <v>296</v>
      </c>
      <c r="H95" s="2484" t="s">
        <v>2988</v>
      </c>
      <c r="I95" s="2485">
        <f>10%/6</f>
        <v>0.016666666666666666</v>
      </c>
      <c r="J95" s="2484" t="s">
        <v>468</v>
      </c>
      <c r="K95" s="2486">
        <v>42005</v>
      </c>
      <c r="L95" s="2487" t="s">
        <v>469</v>
      </c>
      <c r="M95" s="2012"/>
      <c r="N95" s="2012"/>
      <c r="O95" s="2012"/>
      <c r="P95" s="2012">
        <v>1</v>
      </c>
      <c r="Q95" s="2012"/>
      <c r="R95" s="2012"/>
      <c r="S95" s="2012"/>
      <c r="T95" s="2012"/>
      <c r="U95" s="2012"/>
      <c r="V95" s="2012"/>
      <c r="W95" s="2012"/>
      <c r="X95" s="2012"/>
      <c r="Y95" s="2488">
        <f aca="true" t="shared" si="61" ref="Y95:Y100">+SUM(M95:X95)</f>
        <v>1</v>
      </c>
      <c r="Z95" s="2143">
        <v>0</v>
      </c>
      <c r="AA95" s="2489" t="s">
        <v>1090</v>
      </c>
      <c r="AB95" s="1552">
        <f aca="true" t="shared" si="62" ref="AB95:AB100">M95+N95</f>
        <v>0</v>
      </c>
      <c r="AC95" s="1335">
        <f aca="true" t="shared" si="63" ref="AC95:AC100">IF(AB95=0,0%,100%)</f>
        <v>0</v>
      </c>
      <c r="AD95" s="1552">
        <v>0</v>
      </c>
      <c r="AE95" s="1335" t="s">
        <v>1090</v>
      </c>
      <c r="AF95" s="1630">
        <f aca="true" t="shared" si="64" ref="AF95:AF100">AD95/Y95</f>
        <v>0</v>
      </c>
      <c r="AG95" s="1335">
        <f aca="true" t="shared" si="65" ref="AG95:AG100">AF95</f>
        <v>0</v>
      </c>
      <c r="AH95" s="1335"/>
      <c r="AI95" s="1334"/>
      <c r="AJ95" s="1334"/>
      <c r="AK95" s="1334"/>
      <c r="AL95" s="1334"/>
      <c r="AM95" s="1692">
        <f aca="true" t="shared" si="66" ref="AM95:AM100">SUM(M95:P95)</f>
        <v>1</v>
      </c>
      <c r="AN95" s="1699">
        <f aca="true" t="shared" si="67" ref="AN95:AN100">IF(AM95=0,0%,100%)</f>
        <v>1</v>
      </c>
      <c r="AO95" s="1697">
        <v>0</v>
      </c>
      <c r="AP95" s="1699">
        <f aca="true" t="shared" si="68" ref="AP95:AP99">AO95/AM95</f>
        <v>0</v>
      </c>
      <c r="AQ95" s="1699">
        <f aca="true" t="shared" si="69" ref="AQ95:AQ100">AO95/Y95</f>
        <v>0</v>
      </c>
      <c r="AR95" s="1699">
        <f aca="true" t="shared" si="70" ref="AR95:AR99">IF(AN95&gt;0,AP95,"-")</f>
        <v>0</v>
      </c>
      <c r="AS95" s="1743">
        <v>0</v>
      </c>
      <c r="AT95" s="1699">
        <v>0</v>
      </c>
      <c r="AU95" s="1692"/>
      <c r="AV95" s="1692" t="s">
        <v>2291</v>
      </c>
      <c r="AW95" s="2898" t="s">
        <v>2478</v>
      </c>
      <c r="AX95" s="2899"/>
      <c r="AY95" s="2899"/>
      <c r="AZ95" s="2899"/>
      <c r="BA95" s="2899"/>
      <c r="BB95" s="2899"/>
      <c r="BC95" s="2899"/>
      <c r="BD95" s="2899"/>
      <c r="BE95" s="2899"/>
      <c r="BF95" s="2899"/>
      <c r="BG95" s="2474">
        <f t="shared" si="50"/>
        <v>1</v>
      </c>
      <c r="BH95" s="2475">
        <f t="shared" si="59"/>
        <v>1</v>
      </c>
      <c r="BI95" s="2476">
        <v>0</v>
      </c>
      <c r="BJ95" s="2475" t="s">
        <v>1090</v>
      </c>
      <c r="BK95" s="2416"/>
      <c r="BL95" s="2475">
        <f t="shared" si="51"/>
        <v>0</v>
      </c>
      <c r="BM95" s="2416"/>
      <c r="BN95" s="2416"/>
      <c r="BO95" s="2474" t="s">
        <v>3118</v>
      </c>
      <c r="BP95" s="2421"/>
    </row>
    <row r="96" spans="1:68" s="211" customFormat="1" ht="53.25" customHeight="1" thickBot="1">
      <c r="A96" s="2472"/>
      <c r="B96" s="2471"/>
      <c r="C96" s="2657"/>
      <c r="D96" s="2107" t="s">
        <v>470</v>
      </c>
      <c r="E96" s="2481" t="s">
        <v>72</v>
      </c>
      <c r="F96" s="2482">
        <v>1</v>
      </c>
      <c r="G96" s="2483" t="s">
        <v>361</v>
      </c>
      <c r="H96" s="2484" t="s">
        <v>2988</v>
      </c>
      <c r="I96" s="2485">
        <f aca="true" t="shared" si="71" ref="I96:I100">10%/6</f>
        <v>0.016666666666666666</v>
      </c>
      <c r="J96" s="2484" t="s">
        <v>471</v>
      </c>
      <c r="K96" s="2486">
        <v>42006</v>
      </c>
      <c r="L96" s="2487">
        <v>42066</v>
      </c>
      <c r="M96" s="2012"/>
      <c r="N96" s="2012"/>
      <c r="O96" s="2012">
        <v>1</v>
      </c>
      <c r="P96" s="2012"/>
      <c r="Q96" s="2012"/>
      <c r="R96" s="2012"/>
      <c r="S96" s="2012"/>
      <c r="T96" s="2012"/>
      <c r="U96" s="2012"/>
      <c r="V96" s="2012"/>
      <c r="W96" s="2012"/>
      <c r="X96" s="2012"/>
      <c r="Y96" s="2488">
        <f t="shared" si="61"/>
        <v>1</v>
      </c>
      <c r="Z96" s="2143">
        <v>0</v>
      </c>
      <c r="AA96" s="2489" t="s">
        <v>1090</v>
      </c>
      <c r="AB96" s="1552">
        <f t="shared" si="62"/>
        <v>0</v>
      </c>
      <c r="AC96" s="1335">
        <f t="shared" si="63"/>
        <v>0</v>
      </c>
      <c r="AD96" s="1552">
        <v>0</v>
      </c>
      <c r="AE96" s="1335" t="s">
        <v>1090</v>
      </c>
      <c r="AF96" s="1630">
        <f t="shared" si="64"/>
        <v>0</v>
      </c>
      <c r="AG96" s="1335">
        <f t="shared" si="65"/>
        <v>0</v>
      </c>
      <c r="AH96" s="1335"/>
      <c r="AI96" s="1334"/>
      <c r="AJ96" s="1334"/>
      <c r="AK96" s="1334"/>
      <c r="AL96" s="1334"/>
      <c r="AM96" s="1692">
        <f t="shared" si="66"/>
        <v>1</v>
      </c>
      <c r="AN96" s="1699">
        <f t="shared" si="67"/>
        <v>1</v>
      </c>
      <c r="AO96" s="1697">
        <v>0</v>
      </c>
      <c r="AP96" s="1699">
        <f t="shared" si="68"/>
        <v>0</v>
      </c>
      <c r="AQ96" s="1699">
        <f t="shared" si="69"/>
        <v>0</v>
      </c>
      <c r="AR96" s="1699">
        <f t="shared" si="70"/>
        <v>0</v>
      </c>
      <c r="AS96" s="1743">
        <v>0</v>
      </c>
      <c r="AT96" s="1699">
        <v>0</v>
      </c>
      <c r="AU96" s="1692"/>
      <c r="AV96" s="1692" t="s">
        <v>2291</v>
      </c>
      <c r="AW96" s="2900"/>
      <c r="AX96" s="2901"/>
      <c r="AY96" s="2901"/>
      <c r="AZ96" s="2901"/>
      <c r="BA96" s="2901"/>
      <c r="BB96" s="2901"/>
      <c r="BC96" s="2901"/>
      <c r="BD96" s="2901"/>
      <c r="BE96" s="2901"/>
      <c r="BF96" s="2901"/>
      <c r="BG96" s="2474">
        <f t="shared" si="50"/>
        <v>1</v>
      </c>
      <c r="BH96" s="2475">
        <f t="shared" si="59"/>
        <v>1</v>
      </c>
      <c r="BI96" s="2476" t="s">
        <v>1090</v>
      </c>
      <c r="BJ96" s="2475" t="s">
        <v>1090</v>
      </c>
      <c r="BK96" s="2416"/>
      <c r="BL96" s="2475">
        <v>0</v>
      </c>
      <c r="BM96" s="2416"/>
      <c r="BN96" s="2416"/>
      <c r="BO96" s="2474" t="s">
        <v>3119</v>
      </c>
      <c r="BP96" s="2421"/>
    </row>
    <row r="97" spans="1:68" s="211" customFormat="1" ht="33.75" thickBot="1">
      <c r="A97" s="2472"/>
      <c r="B97" s="2471"/>
      <c r="C97" s="2657"/>
      <c r="D97" s="2107" t="s">
        <v>472</v>
      </c>
      <c r="E97" s="2481" t="s">
        <v>473</v>
      </c>
      <c r="F97" s="2482">
        <v>12</v>
      </c>
      <c r="G97" s="2483" t="s">
        <v>474</v>
      </c>
      <c r="H97" s="2484" t="s">
        <v>2988</v>
      </c>
      <c r="I97" s="2485">
        <f t="shared" si="71"/>
        <v>0.016666666666666666</v>
      </c>
      <c r="J97" s="2484" t="s">
        <v>475</v>
      </c>
      <c r="K97" s="2486">
        <v>42005</v>
      </c>
      <c r="L97" s="2487">
        <v>42369</v>
      </c>
      <c r="M97" s="2012">
        <v>1</v>
      </c>
      <c r="N97" s="2012">
        <v>1</v>
      </c>
      <c r="O97" s="2012">
        <v>1</v>
      </c>
      <c r="P97" s="2012">
        <v>1</v>
      </c>
      <c r="Q97" s="2012">
        <v>1</v>
      </c>
      <c r="R97" s="2012">
        <v>1</v>
      </c>
      <c r="S97" s="2012">
        <v>1</v>
      </c>
      <c r="T97" s="2012">
        <v>1</v>
      </c>
      <c r="U97" s="2012">
        <v>1</v>
      </c>
      <c r="V97" s="2012">
        <v>1</v>
      </c>
      <c r="W97" s="2012">
        <v>1</v>
      </c>
      <c r="X97" s="2012">
        <v>1</v>
      </c>
      <c r="Y97" s="2488">
        <f t="shared" si="61"/>
        <v>12</v>
      </c>
      <c r="Z97" s="2143">
        <v>500000000</v>
      </c>
      <c r="AA97" s="2489" t="s">
        <v>1090</v>
      </c>
      <c r="AB97" s="1552">
        <f t="shared" si="62"/>
        <v>2</v>
      </c>
      <c r="AC97" s="1335">
        <f t="shared" si="63"/>
        <v>1</v>
      </c>
      <c r="AD97" s="1552">
        <v>12</v>
      </c>
      <c r="AE97" s="1335">
        <f aca="true" t="shared" si="72" ref="AE97:AE98">AD97/AB97</f>
        <v>6</v>
      </c>
      <c r="AF97" s="1630">
        <f t="shared" si="64"/>
        <v>1</v>
      </c>
      <c r="AG97" s="1335">
        <f t="shared" si="65"/>
        <v>1</v>
      </c>
      <c r="AH97" s="1335"/>
      <c r="AI97" s="1334"/>
      <c r="AJ97" s="1334"/>
      <c r="AK97" s="1334" t="s">
        <v>1866</v>
      </c>
      <c r="AL97" s="1334"/>
      <c r="AM97" s="1692">
        <f t="shared" si="66"/>
        <v>4</v>
      </c>
      <c r="AN97" s="1699">
        <f t="shared" si="67"/>
        <v>1</v>
      </c>
      <c r="AO97" s="1697">
        <v>0</v>
      </c>
      <c r="AP97" s="1699">
        <f t="shared" si="68"/>
        <v>0</v>
      </c>
      <c r="AQ97" s="1699">
        <f t="shared" si="69"/>
        <v>0</v>
      </c>
      <c r="AR97" s="1699">
        <f t="shared" si="70"/>
        <v>0</v>
      </c>
      <c r="AS97" s="1743">
        <v>0</v>
      </c>
      <c r="AT97" s="1699">
        <v>0</v>
      </c>
      <c r="AU97" s="1692"/>
      <c r="AV97" s="1692" t="s">
        <v>2291</v>
      </c>
      <c r="AW97" s="2900"/>
      <c r="AX97" s="2901"/>
      <c r="AY97" s="2901"/>
      <c r="AZ97" s="2901"/>
      <c r="BA97" s="2901"/>
      <c r="BB97" s="2901"/>
      <c r="BC97" s="2901"/>
      <c r="BD97" s="2901"/>
      <c r="BE97" s="2901"/>
      <c r="BF97" s="2901"/>
      <c r="BG97" s="2474">
        <f t="shared" si="50"/>
        <v>8</v>
      </c>
      <c r="BH97" s="2475">
        <f t="shared" si="59"/>
        <v>1</v>
      </c>
      <c r="BI97" s="2476">
        <v>35</v>
      </c>
      <c r="BJ97" s="2475">
        <v>1</v>
      </c>
      <c r="BK97" s="2416"/>
      <c r="BL97" s="2475">
        <v>1</v>
      </c>
      <c r="BM97" s="2416"/>
      <c r="BN97" s="2416"/>
      <c r="BO97" s="2474" t="s">
        <v>3120</v>
      </c>
      <c r="BP97" s="2421"/>
    </row>
    <row r="98" spans="1:68" s="211" customFormat="1" ht="36" customHeight="1" thickBot="1">
      <c r="A98" s="2472"/>
      <c r="B98" s="2471"/>
      <c r="C98" s="2657"/>
      <c r="D98" s="2107" t="s">
        <v>476</v>
      </c>
      <c r="E98" s="2481" t="s">
        <v>473</v>
      </c>
      <c r="F98" s="2482">
        <v>20</v>
      </c>
      <c r="G98" s="2483" t="s">
        <v>474</v>
      </c>
      <c r="H98" s="2484" t="s">
        <v>2988</v>
      </c>
      <c r="I98" s="2485">
        <f t="shared" si="71"/>
        <v>0.016666666666666666</v>
      </c>
      <c r="J98" s="2484" t="s">
        <v>475</v>
      </c>
      <c r="K98" s="2486">
        <v>42005</v>
      </c>
      <c r="L98" s="2487">
        <v>42369</v>
      </c>
      <c r="M98" s="2012">
        <f>20/12</f>
        <v>1.6666666666666667</v>
      </c>
      <c r="N98" s="2012">
        <f aca="true" t="shared" si="73" ref="N98:X98">20/12</f>
        <v>1.6666666666666667</v>
      </c>
      <c r="O98" s="2012">
        <f t="shared" si="73"/>
        <v>1.6666666666666667</v>
      </c>
      <c r="P98" s="2012">
        <f t="shared" si="73"/>
        <v>1.6666666666666667</v>
      </c>
      <c r="Q98" s="2012">
        <f t="shared" si="73"/>
        <v>1.6666666666666667</v>
      </c>
      <c r="R98" s="2012">
        <f t="shared" si="73"/>
        <v>1.6666666666666667</v>
      </c>
      <c r="S98" s="2012">
        <f t="shared" si="73"/>
        <v>1.6666666666666667</v>
      </c>
      <c r="T98" s="2012">
        <f t="shared" si="73"/>
        <v>1.6666666666666667</v>
      </c>
      <c r="U98" s="2012">
        <f t="shared" si="73"/>
        <v>1.6666666666666667</v>
      </c>
      <c r="V98" s="2012">
        <f t="shared" si="73"/>
        <v>1.6666666666666667</v>
      </c>
      <c r="W98" s="2012">
        <f t="shared" si="73"/>
        <v>1.6666666666666667</v>
      </c>
      <c r="X98" s="2012">
        <f t="shared" si="73"/>
        <v>1.6666666666666667</v>
      </c>
      <c r="Y98" s="2488">
        <f t="shared" si="61"/>
        <v>20</v>
      </c>
      <c r="Z98" s="2143">
        <v>0</v>
      </c>
      <c r="AA98" s="2489" t="s">
        <v>1090</v>
      </c>
      <c r="AB98" s="1552">
        <f t="shared" si="62"/>
        <v>3.3333333333333335</v>
      </c>
      <c r="AC98" s="1335">
        <f t="shared" si="63"/>
        <v>1</v>
      </c>
      <c r="AD98" s="1552">
        <v>7</v>
      </c>
      <c r="AE98" s="1335">
        <f t="shared" si="72"/>
        <v>2.1</v>
      </c>
      <c r="AF98" s="1630">
        <f t="shared" si="64"/>
        <v>0.35</v>
      </c>
      <c r="AG98" s="1335">
        <f t="shared" si="65"/>
        <v>0.35</v>
      </c>
      <c r="AH98" s="1335"/>
      <c r="AI98" s="1334"/>
      <c r="AJ98" s="1334"/>
      <c r="AK98" s="1334" t="s">
        <v>1867</v>
      </c>
      <c r="AL98" s="1334"/>
      <c r="AM98" s="1692">
        <f t="shared" si="66"/>
        <v>6.666666666666667</v>
      </c>
      <c r="AN98" s="1699">
        <f t="shared" si="67"/>
        <v>1</v>
      </c>
      <c r="AO98" s="1697">
        <v>0</v>
      </c>
      <c r="AP98" s="1699">
        <f t="shared" si="68"/>
        <v>0</v>
      </c>
      <c r="AQ98" s="1699">
        <f t="shared" si="69"/>
        <v>0</v>
      </c>
      <c r="AR98" s="1699">
        <f t="shared" si="70"/>
        <v>0</v>
      </c>
      <c r="AS98" s="1743">
        <v>0</v>
      </c>
      <c r="AT98" s="1699">
        <v>0</v>
      </c>
      <c r="AU98" s="1692"/>
      <c r="AV98" s="1692" t="s">
        <v>2291</v>
      </c>
      <c r="AW98" s="2900"/>
      <c r="AX98" s="2901"/>
      <c r="AY98" s="2901"/>
      <c r="AZ98" s="2901"/>
      <c r="BA98" s="2901"/>
      <c r="BB98" s="2901"/>
      <c r="BC98" s="2901"/>
      <c r="BD98" s="2901"/>
      <c r="BE98" s="2901"/>
      <c r="BF98" s="2901"/>
      <c r="BG98" s="2474">
        <f t="shared" si="50"/>
        <v>13.333333333333332</v>
      </c>
      <c r="BH98" s="2475">
        <f t="shared" si="59"/>
        <v>1</v>
      </c>
      <c r="BI98" s="2476">
        <v>61</v>
      </c>
      <c r="BJ98" s="2475">
        <v>1</v>
      </c>
      <c r="BK98" s="2416"/>
      <c r="BL98" s="2475">
        <v>1</v>
      </c>
      <c r="BM98" s="2416"/>
      <c r="BN98" s="2416"/>
      <c r="BO98" s="2474" t="s">
        <v>3121</v>
      </c>
      <c r="BP98" s="2421"/>
    </row>
    <row r="99" spans="1:68" s="211" customFormat="1" ht="48" customHeight="1" thickBot="1">
      <c r="A99" s="2472"/>
      <c r="B99" s="2471"/>
      <c r="C99" s="2657"/>
      <c r="D99" s="2107" t="s">
        <v>477</v>
      </c>
      <c r="E99" s="2481" t="s">
        <v>478</v>
      </c>
      <c r="F99" s="2482">
        <v>1</v>
      </c>
      <c r="G99" s="2483" t="s">
        <v>479</v>
      </c>
      <c r="H99" s="2484" t="s">
        <v>2988</v>
      </c>
      <c r="I99" s="2485">
        <f t="shared" si="71"/>
        <v>0.016666666666666666</v>
      </c>
      <c r="J99" s="2484" t="s">
        <v>478</v>
      </c>
      <c r="K99" s="2486">
        <v>42008</v>
      </c>
      <c r="L99" s="2487">
        <v>42010</v>
      </c>
      <c r="M99" s="2012"/>
      <c r="N99" s="2012"/>
      <c r="O99" s="2012">
        <v>1</v>
      </c>
      <c r="P99" s="2012"/>
      <c r="Q99" s="2012"/>
      <c r="R99" s="2012"/>
      <c r="S99" s="2012"/>
      <c r="T99" s="2012"/>
      <c r="U99" s="2012"/>
      <c r="V99" s="2012"/>
      <c r="W99" s="2012"/>
      <c r="X99" s="2012"/>
      <c r="Y99" s="2488">
        <f t="shared" si="61"/>
        <v>1</v>
      </c>
      <c r="Z99" s="2143">
        <v>0</v>
      </c>
      <c r="AA99" s="2489" t="s">
        <v>1090</v>
      </c>
      <c r="AB99" s="1552">
        <f t="shared" si="62"/>
        <v>0</v>
      </c>
      <c r="AC99" s="1335">
        <f t="shared" si="63"/>
        <v>0</v>
      </c>
      <c r="AD99" s="1552">
        <v>0</v>
      </c>
      <c r="AE99" s="1335" t="s">
        <v>1090</v>
      </c>
      <c r="AF99" s="1630">
        <f t="shared" si="64"/>
        <v>0</v>
      </c>
      <c r="AG99" s="1335">
        <f t="shared" si="65"/>
        <v>0</v>
      </c>
      <c r="AH99" s="1335"/>
      <c r="AI99" s="1334"/>
      <c r="AJ99" s="1334"/>
      <c r="AK99" s="1334"/>
      <c r="AL99" s="1334"/>
      <c r="AM99" s="1692">
        <f t="shared" si="66"/>
        <v>1</v>
      </c>
      <c r="AN99" s="1699">
        <f t="shared" si="67"/>
        <v>1</v>
      </c>
      <c r="AO99" s="1697">
        <v>0</v>
      </c>
      <c r="AP99" s="1699">
        <f t="shared" si="68"/>
        <v>0</v>
      </c>
      <c r="AQ99" s="1699">
        <f t="shared" si="69"/>
        <v>0</v>
      </c>
      <c r="AR99" s="1699">
        <f t="shared" si="70"/>
        <v>0</v>
      </c>
      <c r="AS99" s="1743">
        <v>0</v>
      </c>
      <c r="AT99" s="1699">
        <v>0</v>
      </c>
      <c r="AU99" s="1692" t="s">
        <v>2292</v>
      </c>
      <c r="AV99" s="1692"/>
      <c r="AW99" s="2900"/>
      <c r="AX99" s="2901"/>
      <c r="AY99" s="2901"/>
      <c r="AZ99" s="2901"/>
      <c r="BA99" s="2901"/>
      <c r="BB99" s="2901"/>
      <c r="BC99" s="2901"/>
      <c r="BD99" s="2901"/>
      <c r="BE99" s="2901"/>
      <c r="BF99" s="2901"/>
      <c r="BG99" s="2474">
        <f t="shared" si="50"/>
        <v>1</v>
      </c>
      <c r="BH99" s="2475">
        <f t="shared" si="59"/>
        <v>1</v>
      </c>
      <c r="BI99" s="2476" t="s">
        <v>1090</v>
      </c>
      <c r="BJ99" s="2475">
        <v>0</v>
      </c>
      <c r="BK99" s="2416"/>
      <c r="BL99" s="2475">
        <v>0</v>
      </c>
      <c r="BM99" s="2416"/>
      <c r="BN99" s="2416"/>
      <c r="BO99" s="2474" t="s">
        <v>3122</v>
      </c>
      <c r="BP99" s="2421"/>
    </row>
    <row r="100" spans="1:68" s="211" customFormat="1" ht="26.25" thickBot="1">
      <c r="A100" s="2472"/>
      <c r="B100" s="2471"/>
      <c r="C100" s="2657"/>
      <c r="D100" s="2107" t="s">
        <v>480</v>
      </c>
      <c r="E100" s="2481" t="s">
        <v>315</v>
      </c>
      <c r="F100" s="2482">
        <v>1</v>
      </c>
      <c r="G100" s="2483" t="s">
        <v>474</v>
      </c>
      <c r="H100" s="2484" t="s">
        <v>2988</v>
      </c>
      <c r="I100" s="2485">
        <f t="shared" si="71"/>
        <v>0.016666666666666666</v>
      </c>
      <c r="J100" s="2484" t="s">
        <v>481</v>
      </c>
      <c r="K100" s="2486">
        <v>42161</v>
      </c>
      <c r="L100" s="2487">
        <v>42321</v>
      </c>
      <c r="M100" s="2012"/>
      <c r="N100" s="2012"/>
      <c r="O100" s="2012"/>
      <c r="P100" s="2012"/>
      <c r="Q100" s="2012"/>
      <c r="R100" s="2012"/>
      <c r="S100" s="2012"/>
      <c r="T100" s="2012"/>
      <c r="U100" s="2012"/>
      <c r="V100" s="2012"/>
      <c r="W100" s="2012">
        <v>1</v>
      </c>
      <c r="X100" s="2012"/>
      <c r="Y100" s="2488">
        <f t="shared" si="61"/>
        <v>1</v>
      </c>
      <c r="Z100" s="2143">
        <v>0</v>
      </c>
      <c r="AA100" s="2489" t="s">
        <v>1090</v>
      </c>
      <c r="AB100" s="1552">
        <f t="shared" si="62"/>
        <v>0</v>
      </c>
      <c r="AC100" s="1335">
        <f t="shared" si="63"/>
        <v>0</v>
      </c>
      <c r="AD100" s="1552">
        <v>0</v>
      </c>
      <c r="AE100" s="1335" t="s">
        <v>1090</v>
      </c>
      <c r="AF100" s="1630">
        <f t="shared" si="64"/>
        <v>0</v>
      </c>
      <c r="AG100" s="1335">
        <f t="shared" si="65"/>
        <v>0</v>
      </c>
      <c r="AH100" s="1335"/>
      <c r="AI100" s="1334"/>
      <c r="AJ100" s="1334"/>
      <c r="AK100" s="1334" t="s">
        <v>1868</v>
      </c>
      <c r="AL100" s="1334"/>
      <c r="AM100" s="1692">
        <f t="shared" si="66"/>
        <v>0</v>
      </c>
      <c r="AN100" s="1699">
        <f t="shared" si="67"/>
        <v>0</v>
      </c>
      <c r="AO100" s="1697">
        <v>0</v>
      </c>
      <c r="AP100" s="1699" t="s">
        <v>1090</v>
      </c>
      <c r="AQ100" s="1699">
        <f t="shared" si="69"/>
        <v>0</v>
      </c>
      <c r="AR100" s="1699">
        <v>0</v>
      </c>
      <c r="AS100" s="1743">
        <v>0</v>
      </c>
      <c r="AT100" s="1699">
        <v>0</v>
      </c>
      <c r="AU100" s="1692"/>
      <c r="AV100" s="1692"/>
      <c r="AW100" s="2902"/>
      <c r="AX100" s="2903"/>
      <c r="AY100" s="2903"/>
      <c r="AZ100" s="2903"/>
      <c r="BA100" s="2903"/>
      <c r="BB100" s="2903"/>
      <c r="BC100" s="2903"/>
      <c r="BD100" s="2903"/>
      <c r="BE100" s="2903"/>
      <c r="BF100" s="2903"/>
      <c r="BG100" s="2474">
        <f t="shared" si="50"/>
        <v>0</v>
      </c>
      <c r="BH100" s="2475">
        <f t="shared" si="59"/>
        <v>0</v>
      </c>
      <c r="BI100" s="2476" t="s">
        <v>1090</v>
      </c>
      <c r="BJ100" s="2475" t="s">
        <v>1090</v>
      </c>
      <c r="BK100" s="2416"/>
      <c r="BL100" s="2475" t="s">
        <v>1090</v>
      </c>
      <c r="BM100" s="2416"/>
      <c r="BN100" s="2416"/>
      <c r="BO100" s="2474" t="s">
        <v>3123</v>
      </c>
      <c r="BP100" s="2421"/>
    </row>
    <row r="101" spans="1:68" s="606" customFormat="1" ht="20.1" customHeight="1" thickBot="1">
      <c r="A101" s="2652" t="s">
        <v>130</v>
      </c>
      <c r="B101" s="2653"/>
      <c r="C101" s="2653"/>
      <c r="D101" s="2654"/>
      <c r="E101" s="1757"/>
      <c r="F101" s="1757"/>
      <c r="G101" s="85"/>
      <c r="H101" s="1757"/>
      <c r="I101" s="157">
        <f>SUM(I72:I88)</f>
        <v>0.9845764705882354</v>
      </c>
      <c r="J101" s="1757"/>
      <c r="K101" s="1757"/>
      <c r="L101" s="1757"/>
      <c r="M101" s="1757"/>
      <c r="N101" s="1757"/>
      <c r="O101" s="1757"/>
      <c r="P101" s="1757"/>
      <c r="Q101" s="1757"/>
      <c r="R101" s="1757"/>
      <c r="S101" s="1757"/>
      <c r="T101" s="1757"/>
      <c r="U101" s="1757"/>
      <c r="V101" s="1757"/>
      <c r="W101" s="1757"/>
      <c r="X101" s="1757"/>
      <c r="Y101" s="87"/>
      <c r="Z101" s="2321">
        <f>SUM(Z72:Z81)</f>
        <v>0</v>
      </c>
      <c r="AA101" s="2322"/>
      <c r="AB101" s="1495"/>
      <c r="AC101" s="1494">
        <f>AVERAGEIF(AC72:AC88,"&gt;0")</f>
        <v>1</v>
      </c>
      <c r="AD101" s="1511"/>
      <c r="AE101" s="1494">
        <f>AVERAGE(AE72:AE88)</f>
        <v>0.6666666666666666</v>
      </c>
      <c r="AF101" s="1494"/>
      <c r="AG101" s="1496">
        <f>AVERAGE(AG72:AG88)</f>
        <v>0.13333333333333333</v>
      </c>
      <c r="AH101" s="1336"/>
      <c r="AI101" s="1324"/>
      <c r="AJ101" s="1324"/>
      <c r="AK101" s="1324"/>
      <c r="AL101" s="1324"/>
      <c r="AM101" s="1325"/>
      <c r="AN101" s="1875">
        <f>AVERAGEIF(AN72:AN88,"&gt;0")</f>
        <v>1</v>
      </c>
      <c r="AO101" s="1325"/>
      <c r="AP101" s="1877">
        <f>AVERAGE(AP72:AP88)</f>
        <v>0.2222222222222222</v>
      </c>
      <c r="AQ101" s="1325"/>
      <c r="AR101" s="1877">
        <f>AVERAGE(AR72:AR88)</f>
        <v>0.125</v>
      </c>
      <c r="AS101" s="1325"/>
      <c r="AT101" s="1325"/>
      <c r="AU101" s="1325"/>
      <c r="AV101" s="1325"/>
      <c r="AW101" s="1961"/>
      <c r="AX101" s="2241">
        <v>1</v>
      </c>
      <c r="AY101" s="1961"/>
      <c r="AZ101" s="2238">
        <f>AVERAGE(AZ72:AZ94)</f>
        <v>0.2692307692307692</v>
      </c>
      <c r="BA101" s="1961"/>
      <c r="BB101" s="2238">
        <f>AVERAGE(BB72:BB94)</f>
        <v>0.15</v>
      </c>
      <c r="BC101" s="2069"/>
      <c r="BD101" s="2070"/>
      <c r="BE101" s="2070"/>
      <c r="BF101" s="2071"/>
      <c r="BG101" s="1325"/>
      <c r="BH101" s="1878">
        <v>1</v>
      </c>
      <c r="BI101" s="1325"/>
      <c r="BJ101" s="2319">
        <f>AVERAGE(BJ72:BJ100)</f>
        <v>0.41818181818181815</v>
      </c>
      <c r="BK101" s="1325"/>
      <c r="BL101" s="2319">
        <f>AVERAGE(BL72:BL100)</f>
        <v>0.265</v>
      </c>
      <c r="BM101" s="1325"/>
      <c r="BN101" s="1325"/>
      <c r="BO101" s="1325"/>
      <c r="BP101" s="1325"/>
    </row>
    <row r="102" spans="1:68" s="606" customFormat="1" ht="27" customHeight="1" thickBot="1">
      <c r="A102" s="2660" t="s">
        <v>290</v>
      </c>
      <c r="B102" s="2661"/>
      <c r="C102" s="2661"/>
      <c r="D102" s="2661"/>
      <c r="E102" s="1761"/>
      <c r="F102" s="1762"/>
      <c r="G102" s="158"/>
      <c r="H102" s="1762"/>
      <c r="I102" s="159">
        <f>(I101+I35+I71+I45+I24)/5</f>
        <v>1.1302486274509804</v>
      </c>
      <c r="J102" s="1762"/>
      <c r="K102" s="1762"/>
      <c r="L102" s="1762"/>
      <c r="M102" s="1762"/>
      <c r="N102" s="1762"/>
      <c r="O102" s="1762"/>
      <c r="P102" s="1762"/>
      <c r="Q102" s="1762"/>
      <c r="R102" s="1762"/>
      <c r="S102" s="1762"/>
      <c r="T102" s="1762"/>
      <c r="U102" s="1762"/>
      <c r="V102" s="1762"/>
      <c r="W102" s="1762"/>
      <c r="X102" s="1762"/>
      <c r="Y102" s="160"/>
      <c r="Z102" s="161">
        <f>SUM(Z101,Z24,Z45,Z71,Z35)</f>
        <v>1502505832</v>
      </c>
      <c r="AA102" s="162"/>
      <c r="AB102" s="1527"/>
      <c r="AC102" s="1525">
        <f>AVERAGE(AC101,AC71,AC45,AC35,AC24)</f>
        <v>1</v>
      </c>
      <c r="AD102" s="1526"/>
      <c r="AE102" s="1525">
        <f>AVERAGE(AE101,AE71,AE45,AE35,AE24)</f>
        <v>0.28888888888888886</v>
      </c>
      <c r="AF102" s="1525"/>
      <c r="AG102" s="1546">
        <f>AVERAGE(AG101,AG71,AG45,AG35,AG24)</f>
        <v>0.1090530303030303</v>
      </c>
      <c r="AH102" s="1765"/>
      <c r="AI102" s="1329"/>
      <c r="AJ102" s="1329"/>
      <c r="AK102" s="1329"/>
      <c r="AL102" s="1329"/>
      <c r="AM102" s="1329"/>
      <c r="AN102" s="306">
        <f>AVERAGE(AN71,AN45,AN35,AN24,AN17)</f>
        <v>1</v>
      </c>
      <c r="AO102" s="1329"/>
      <c r="AP102" s="306">
        <f>AVERAGE(AP101,AP71,AP45,AP35,AP24)</f>
        <v>0.24682539682539684</v>
      </c>
      <c r="AQ102" s="1329"/>
      <c r="AR102" s="306">
        <f>AVERAGE(AR101,AR71,AR45,AR35,AR24,)</f>
        <v>0.1440972222222222</v>
      </c>
      <c r="AS102" s="1329"/>
      <c r="AT102" s="1329"/>
      <c r="AU102" s="1329"/>
      <c r="AV102" s="1329"/>
      <c r="AW102" s="1329"/>
      <c r="AX102" s="2206">
        <v>1</v>
      </c>
      <c r="AY102" s="1329"/>
      <c r="AZ102" s="1342">
        <f>AVERAGE(AZ101,AZ71,AZ45,AZ35,AZ24)</f>
        <v>0.6544413919413918</v>
      </c>
      <c r="BA102" s="1329"/>
      <c r="BB102" s="1342">
        <f>AVERAGE(BB101,BB71,BB45,BB35,BB24)</f>
        <v>0.4151010101010101</v>
      </c>
      <c r="BC102" s="1972"/>
      <c r="BD102" s="1972"/>
      <c r="BE102" s="1972"/>
      <c r="BF102" s="1972"/>
      <c r="BG102" s="1329"/>
      <c r="BH102" s="1342">
        <v>1</v>
      </c>
      <c r="BI102" s="1329"/>
      <c r="BJ102" s="1546">
        <f>AVERAGE(BJ101,BJ71,BJ45,BJ35,BJ24)</f>
        <v>0.8235173160173159</v>
      </c>
      <c r="BK102" s="1329"/>
      <c r="BL102" s="1546">
        <f>AVERAGE(BL101,BL71,BL45,BL35,BL24)</f>
        <v>0.6300875420875421</v>
      </c>
      <c r="BM102" s="1329"/>
      <c r="BN102" s="1329"/>
      <c r="BO102" s="1329"/>
      <c r="BP102" s="1329"/>
    </row>
    <row r="103" spans="1:68" s="3" customFormat="1" ht="20.1" customHeight="1" thickBot="1">
      <c r="A103" s="164"/>
      <c r="B103" s="165"/>
      <c r="C103" s="166"/>
      <c r="D103" s="166"/>
      <c r="E103" s="165"/>
      <c r="F103" s="167"/>
      <c r="G103" s="168"/>
      <c r="H103" s="165"/>
      <c r="I103" s="169"/>
      <c r="J103" s="165"/>
      <c r="K103" s="170"/>
      <c r="L103" s="170"/>
      <c r="M103" s="165"/>
      <c r="N103" s="165"/>
      <c r="O103" s="165"/>
      <c r="P103" s="165"/>
      <c r="Q103" s="165"/>
      <c r="R103" s="165"/>
      <c r="S103" s="165"/>
      <c r="T103" s="165"/>
      <c r="U103" s="165"/>
      <c r="V103" s="165"/>
      <c r="W103" s="165"/>
      <c r="X103" s="165"/>
      <c r="Y103" s="171"/>
      <c r="Z103" s="172">
        <f>SUM(Z102)</f>
        <v>1502505832</v>
      </c>
      <c r="AA103" s="165"/>
      <c r="AB103" s="1330"/>
      <c r="AC103" s="1529">
        <f>AVERAGE(AC102)</f>
        <v>1</v>
      </c>
      <c r="AD103" s="1530"/>
      <c r="AE103" s="1529">
        <f>AVERAGE(AE102)</f>
        <v>0.28888888888888886</v>
      </c>
      <c r="AF103" s="1529"/>
      <c r="AG103" s="1548">
        <f>AVERAGE(AG102)</f>
        <v>0.1090530303030303</v>
      </c>
      <c r="AH103" s="1338"/>
      <c r="AI103" s="1330"/>
      <c r="AJ103" s="1330"/>
      <c r="AK103" s="1330"/>
      <c r="AL103" s="1330"/>
      <c r="AM103" s="1330"/>
      <c r="AN103" s="1885">
        <f>AVERAGE(AN102)</f>
        <v>1</v>
      </c>
      <c r="AO103" s="1886"/>
      <c r="AP103" s="1885">
        <f>AVERAGE(AP102)</f>
        <v>0.24682539682539684</v>
      </c>
      <c r="AQ103" s="1886"/>
      <c r="AR103" s="1885">
        <f>AVERAGE(AR102)</f>
        <v>0.1440972222222222</v>
      </c>
      <c r="AS103" s="1330"/>
      <c r="AT103" s="1330"/>
      <c r="AU103" s="1330"/>
      <c r="AV103" s="1330"/>
      <c r="AW103" s="1330"/>
      <c r="AX103" s="2192">
        <v>1</v>
      </c>
      <c r="AY103" s="1330"/>
      <c r="AZ103" s="2189">
        <f>AVERAGE(AZ102)</f>
        <v>0.6544413919413918</v>
      </c>
      <c r="BA103" s="2187"/>
      <c r="BB103" s="2189">
        <f>AVERAGE(BB102)</f>
        <v>0.4151010101010101</v>
      </c>
      <c r="BC103" s="1330"/>
      <c r="BD103" s="1330"/>
      <c r="BE103" s="1330"/>
      <c r="BF103" s="1330"/>
      <c r="BG103" s="1330"/>
      <c r="BH103" s="2508">
        <v>1</v>
      </c>
      <c r="BI103" s="1886"/>
      <c r="BJ103" s="2508">
        <f>AVERAGE(BJ102)</f>
        <v>0.8235173160173159</v>
      </c>
      <c r="BK103" s="1886"/>
      <c r="BL103" s="2508">
        <f>AVERAGE(BL102)</f>
        <v>0.6300875420875421</v>
      </c>
      <c r="BM103" s="1330"/>
      <c r="BN103" s="1330"/>
      <c r="BO103" s="1330"/>
      <c r="BP103" s="1330"/>
    </row>
    <row r="104" spans="29:34" ht="15">
      <c r="AC104" s="1592"/>
      <c r="AD104" s="1596"/>
      <c r="AE104" s="1592"/>
      <c r="AF104" s="1592"/>
      <c r="AG104" s="1593"/>
      <c r="AH104" s="1593"/>
    </row>
  </sheetData>
  <mergeCells count="61">
    <mergeCell ref="A72:A90"/>
    <mergeCell ref="B72:B90"/>
    <mergeCell ref="C74:C90"/>
    <mergeCell ref="A101:D101"/>
    <mergeCell ref="A102:D102"/>
    <mergeCell ref="C72:C73"/>
    <mergeCell ref="C95:C100"/>
    <mergeCell ref="D51:D52"/>
    <mergeCell ref="D53:D54"/>
    <mergeCell ref="D55:D56"/>
    <mergeCell ref="C61:C70"/>
    <mergeCell ref="A71:D71"/>
    <mergeCell ref="A46:A70"/>
    <mergeCell ref="B46:B70"/>
    <mergeCell ref="C46:C60"/>
    <mergeCell ref="D47:D48"/>
    <mergeCell ref="D49:D50"/>
    <mergeCell ref="A35:D35"/>
    <mergeCell ref="A25:A34"/>
    <mergeCell ref="B25:B34"/>
    <mergeCell ref="C25:C27"/>
    <mergeCell ref="C28:C31"/>
    <mergeCell ref="C32:C34"/>
    <mergeCell ref="A36:A44"/>
    <mergeCell ref="B36:B44"/>
    <mergeCell ref="A45:D45"/>
    <mergeCell ref="C36:C37"/>
    <mergeCell ref="C38:C44"/>
    <mergeCell ref="A16:A23"/>
    <mergeCell ref="B16:B23"/>
    <mergeCell ref="C16:C19"/>
    <mergeCell ref="C20:C23"/>
    <mergeCell ref="A24:D24"/>
    <mergeCell ref="A13:D13"/>
    <mergeCell ref="E13:AA13"/>
    <mergeCell ref="AB13:AL13"/>
    <mergeCell ref="AM13:AV13"/>
    <mergeCell ref="AM11:AV11"/>
    <mergeCell ref="A6:AA6"/>
    <mergeCell ref="A11:D11"/>
    <mergeCell ref="E11:AA11"/>
    <mergeCell ref="AB11:AL11"/>
    <mergeCell ref="AM7:AV9"/>
    <mergeCell ref="A7:AA7"/>
    <mergeCell ref="AB7:AL9"/>
    <mergeCell ref="A1:C4"/>
    <mergeCell ref="D1:BC2"/>
    <mergeCell ref="D3:BC4"/>
    <mergeCell ref="AW95:BF100"/>
    <mergeCell ref="BG5:BP6"/>
    <mergeCell ref="BG7:BP9"/>
    <mergeCell ref="BG11:BP11"/>
    <mergeCell ref="BG13:BP13"/>
    <mergeCell ref="AW11:BF11"/>
    <mergeCell ref="AW13:BF13"/>
    <mergeCell ref="AW5:BF9"/>
    <mergeCell ref="A5:AA5"/>
    <mergeCell ref="AB5:AL6"/>
    <mergeCell ref="A8:AA8"/>
    <mergeCell ref="A9:AA9"/>
    <mergeCell ref="AM5:AV6"/>
  </mergeCells>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9"/>
  <sheetViews>
    <sheetView workbookViewId="0" topLeftCell="A1">
      <selection activeCell="E39" sqref="E39"/>
    </sheetView>
  </sheetViews>
  <sheetFormatPr defaultColWidth="11.421875" defaultRowHeight="15"/>
  <cols>
    <col min="1" max="1" width="18.421875" style="0" customWidth="1"/>
    <col min="2" max="2" width="36.421875" style="0" customWidth="1"/>
    <col min="3" max="3" width="24.421875" style="0" bestFit="1" customWidth="1"/>
    <col min="4" max="4" width="25.421875" style="0" customWidth="1"/>
    <col min="5" max="5" width="30.421875" style="0" customWidth="1"/>
    <col min="6" max="6" width="19.28125" style="0" bestFit="1" customWidth="1"/>
  </cols>
  <sheetData>
    <row r="1" spans="1:71" s="2" customFormat="1" ht="15" customHeight="1">
      <c r="A1" s="2914"/>
      <c r="B1" s="2915"/>
      <c r="C1" s="2920" t="s">
        <v>0</v>
      </c>
      <c r="D1" s="2921"/>
      <c r="E1" s="2924" t="s">
        <v>1</v>
      </c>
      <c r="F1" s="2927" t="s">
        <v>2</v>
      </c>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2908"/>
      <c r="BE1" s="2873"/>
      <c r="BF1" s="2873"/>
      <c r="BG1" s="2873"/>
      <c r="BH1" s="2873"/>
      <c r="BI1" s="2873"/>
      <c r="BJ1" s="2873"/>
      <c r="BK1" s="2873"/>
      <c r="BL1" s="2873"/>
      <c r="BM1" s="2873"/>
      <c r="BN1" s="2873"/>
      <c r="BO1" s="2873"/>
      <c r="BP1" s="2873"/>
      <c r="BQ1" s="2873"/>
      <c r="BR1" s="476"/>
      <c r="BS1" s="476"/>
    </row>
    <row r="2" spans="1:71" s="2" customFormat="1" ht="20.25" customHeight="1" thickBot="1">
      <c r="A2" s="2916"/>
      <c r="B2" s="2917"/>
      <c r="C2" s="2922"/>
      <c r="D2" s="2923"/>
      <c r="E2" s="2925"/>
      <c r="F2" s="2925"/>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c r="AK2" s="589"/>
      <c r="AL2" s="589"/>
      <c r="AM2" s="589"/>
      <c r="AN2" s="589"/>
      <c r="AO2" s="589"/>
      <c r="AP2" s="589"/>
      <c r="AQ2" s="589"/>
      <c r="AR2" s="589"/>
      <c r="AS2" s="589"/>
      <c r="AT2" s="589"/>
      <c r="AU2" s="589"/>
      <c r="AV2" s="589"/>
      <c r="AW2" s="589"/>
      <c r="AX2" s="589"/>
      <c r="AY2" s="589"/>
      <c r="AZ2" s="589"/>
      <c r="BA2" s="589"/>
      <c r="BB2" s="589"/>
      <c r="BC2" s="589"/>
      <c r="BD2" s="2873"/>
      <c r="BE2" s="2873"/>
      <c r="BF2" s="2873"/>
      <c r="BG2" s="2873"/>
      <c r="BH2" s="2873"/>
      <c r="BI2" s="2873"/>
      <c r="BJ2" s="2873"/>
      <c r="BK2" s="2873"/>
      <c r="BL2" s="2873"/>
      <c r="BM2" s="2873"/>
      <c r="BN2" s="2873"/>
      <c r="BO2" s="2873"/>
      <c r="BP2" s="2873"/>
      <c r="BQ2" s="2873"/>
      <c r="BR2" s="476"/>
      <c r="BS2" s="476"/>
    </row>
    <row r="3" spans="1:71" s="2" customFormat="1" ht="19.5" customHeight="1">
      <c r="A3" s="2916"/>
      <c r="B3" s="2917"/>
      <c r="C3" s="2909" t="s">
        <v>3</v>
      </c>
      <c r="D3" s="2910"/>
      <c r="E3" s="2925"/>
      <c r="F3" s="2925"/>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2873"/>
      <c r="BE3" s="2873"/>
      <c r="BF3" s="2873"/>
      <c r="BG3" s="2873"/>
      <c r="BH3" s="2873"/>
      <c r="BI3" s="2873"/>
      <c r="BJ3" s="2873"/>
      <c r="BK3" s="2873"/>
      <c r="BL3" s="2873"/>
      <c r="BM3" s="2873"/>
      <c r="BN3" s="2873"/>
      <c r="BO3" s="2873"/>
      <c r="BP3" s="2873"/>
      <c r="BQ3" s="2873"/>
      <c r="BR3" s="476"/>
      <c r="BS3" s="476"/>
    </row>
    <row r="4" spans="1:71" s="2" customFormat="1" ht="21.75" customHeight="1" thickBot="1">
      <c r="A4" s="2918"/>
      <c r="B4" s="2919"/>
      <c r="C4" s="2911"/>
      <c r="D4" s="2912"/>
      <c r="E4" s="2926"/>
      <c r="F4" s="2926"/>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0"/>
      <c r="AR4" s="590"/>
      <c r="AS4" s="590"/>
      <c r="AT4" s="590"/>
      <c r="AU4" s="590"/>
      <c r="AV4" s="590"/>
      <c r="AW4" s="590"/>
      <c r="AX4" s="590"/>
      <c r="AY4" s="590"/>
      <c r="AZ4" s="590"/>
      <c r="BA4" s="590"/>
      <c r="BB4" s="590"/>
      <c r="BC4" s="590"/>
      <c r="BD4" s="2873"/>
      <c r="BE4" s="2873"/>
      <c r="BF4" s="2873"/>
      <c r="BG4" s="2873"/>
      <c r="BH4" s="2873"/>
      <c r="BI4" s="2873"/>
      <c r="BJ4" s="2873"/>
      <c r="BK4" s="2873"/>
      <c r="BL4" s="2873"/>
      <c r="BM4" s="2873"/>
      <c r="BN4" s="2873"/>
      <c r="BO4" s="2873"/>
      <c r="BP4" s="2873"/>
      <c r="BQ4" s="2873"/>
      <c r="BR4" s="476"/>
      <c r="BS4" s="476"/>
    </row>
    <row r="5" spans="1:6" ht="15">
      <c r="A5" s="591"/>
      <c r="B5" s="592"/>
      <c r="C5" s="592"/>
      <c r="D5" s="592"/>
      <c r="E5" s="592"/>
      <c r="F5" s="593"/>
    </row>
    <row r="6" spans="1:6" ht="30">
      <c r="A6" s="2928" t="s">
        <v>934</v>
      </c>
      <c r="B6" s="2929"/>
      <c r="C6" s="600" t="s">
        <v>1498</v>
      </c>
      <c r="D6" s="600" t="s">
        <v>1499</v>
      </c>
      <c r="E6" s="600" t="s">
        <v>1500</v>
      </c>
      <c r="F6" s="601" t="s">
        <v>35</v>
      </c>
    </row>
    <row r="7" spans="1:6" ht="15">
      <c r="A7" s="2913" t="s">
        <v>1097</v>
      </c>
      <c r="B7" s="2913"/>
      <c r="C7" s="604" t="e">
        <f>#REF!</f>
        <v>#REF!</v>
      </c>
      <c r="D7" s="602" t="e">
        <f>#REF!+#REF!</f>
        <v>#REF!</v>
      </c>
      <c r="E7" s="602">
        <v>0</v>
      </c>
      <c r="F7" s="596" t="e">
        <f>C7</f>
        <v>#REF!</v>
      </c>
    </row>
    <row r="8" spans="1:6" ht="15">
      <c r="A8" s="2913" t="s">
        <v>1502</v>
      </c>
      <c r="B8" s="2913"/>
      <c r="C8" s="604">
        <f>CONOCIMIENTO!Z67</f>
        <v>8105053333</v>
      </c>
      <c r="D8" s="602">
        <f>CONOCIMIENTO!Z68</f>
        <v>0</v>
      </c>
      <c r="E8" s="603">
        <v>0</v>
      </c>
      <c r="F8" s="596">
        <f aca="true" t="shared" si="0" ref="F8:F18">C8</f>
        <v>8105053333</v>
      </c>
    </row>
    <row r="9" spans="1:6" ht="15">
      <c r="A9" s="2913" t="s">
        <v>1501</v>
      </c>
      <c r="B9" s="2913"/>
      <c r="C9" s="604" t="e">
        <f>#REF!</f>
        <v>#REF!</v>
      </c>
      <c r="D9" s="602" t="e">
        <f>#REF!</f>
        <v>#REF!</v>
      </c>
      <c r="E9" s="603">
        <v>0</v>
      </c>
      <c r="F9" s="596" t="e">
        <f t="shared" si="0"/>
        <v>#REF!</v>
      </c>
    </row>
    <row r="10" spans="1:6" ht="15">
      <c r="A10" s="2913" t="s">
        <v>1503</v>
      </c>
      <c r="B10" s="2913"/>
      <c r="C10" s="604" t="e">
        <f>#REF!</f>
        <v>#REF!</v>
      </c>
      <c r="D10" s="595" t="e">
        <f>#REF!</f>
        <v>#REF!</v>
      </c>
      <c r="E10" s="603">
        <v>0</v>
      </c>
      <c r="F10" s="596" t="e">
        <f t="shared" si="0"/>
        <v>#REF!</v>
      </c>
    </row>
    <row r="11" spans="1:6" ht="15">
      <c r="A11" s="2913" t="s">
        <v>551</v>
      </c>
      <c r="B11" s="2913"/>
      <c r="C11" s="604">
        <f>'COOPERACIÓN INTERNACIONAL'!Z49</f>
        <v>142000000</v>
      </c>
      <c r="D11" s="595">
        <v>0</v>
      </c>
      <c r="E11" s="603">
        <v>0</v>
      </c>
      <c r="F11" s="596">
        <f t="shared" si="0"/>
        <v>142000000</v>
      </c>
    </row>
    <row r="12" spans="1:6" ht="15">
      <c r="A12" s="2913" t="s">
        <v>1504</v>
      </c>
      <c r="B12" s="2913"/>
      <c r="C12" s="604">
        <f>COMUNICACIONES!Z77</f>
        <v>1715000000</v>
      </c>
      <c r="D12" s="595">
        <v>0</v>
      </c>
      <c r="E12" s="603">
        <v>0</v>
      </c>
      <c r="F12" s="596">
        <f t="shared" si="0"/>
        <v>1715000000</v>
      </c>
    </row>
    <row r="13" spans="1:6" ht="15">
      <c r="A13" s="2913" t="s">
        <v>1505</v>
      </c>
      <c r="B13" s="2913"/>
      <c r="C13" s="604" t="e">
        <f>PLANEACIÓN!Z120</f>
        <v>#REF!</v>
      </c>
      <c r="D13" s="595">
        <f>PLANEACIÓN!Z121</f>
        <v>209456620</v>
      </c>
      <c r="E13" s="603">
        <v>0</v>
      </c>
      <c r="F13" s="596" t="e">
        <f t="shared" si="0"/>
        <v>#REF!</v>
      </c>
    </row>
    <row r="14" spans="1:6" ht="15">
      <c r="A14" s="2913" t="s">
        <v>1506</v>
      </c>
      <c r="B14" s="2913"/>
      <c r="C14" s="604">
        <f>JURÍDICA!Z39</f>
        <v>0</v>
      </c>
      <c r="D14" s="595">
        <v>0</v>
      </c>
      <c r="E14" s="603">
        <v>0</v>
      </c>
      <c r="F14" s="596">
        <f t="shared" si="0"/>
        <v>0</v>
      </c>
    </row>
    <row r="15" spans="1:6" ht="15">
      <c r="A15" s="2913" t="s">
        <v>8</v>
      </c>
      <c r="B15" s="2913"/>
      <c r="C15" s="604">
        <f>'G. ADMINISTRATIVO'!$Z$103</f>
        <v>1502505832</v>
      </c>
      <c r="D15" s="594">
        <v>0</v>
      </c>
      <c r="E15" s="603">
        <v>0</v>
      </c>
      <c r="F15" s="596">
        <f t="shared" si="0"/>
        <v>1502505832</v>
      </c>
    </row>
    <row r="16" spans="1:6" ht="15">
      <c r="A16" s="2913" t="s">
        <v>627</v>
      </c>
      <c r="B16" s="2913"/>
      <c r="C16" s="604">
        <f>'G. FINANCIERO Y CONT.'!Z70</f>
        <v>0</v>
      </c>
      <c r="D16" s="595">
        <v>0</v>
      </c>
      <c r="E16" s="603">
        <v>0</v>
      </c>
      <c r="F16" s="596">
        <f t="shared" si="0"/>
        <v>0</v>
      </c>
    </row>
    <row r="17" spans="1:6" ht="15">
      <c r="A17" s="2930" t="s">
        <v>510</v>
      </c>
      <c r="B17" s="2930"/>
      <c r="C17" s="604" t="e">
        <f>#REF!</f>
        <v>#REF!</v>
      </c>
      <c r="D17" s="595">
        <v>0</v>
      </c>
      <c r="E17" s="603">
        <v>0</v>
      </c>
      <c r="F17" s="596" t="e">
        <f t="shared" si="0"/>
        <v>#REF!</v>
      </c>
    </row>
    <row r="18" spans="1:6" ht="15">
      <c r="A18" s="2913" t="s">
        <v>1507</v>
      </c>
      <c r="B18" s="2913"/>
      <c r="C18" s="604">
        <f>'G. TALENTO HUMANO'!Z85</f>
        <v>0</v>
      </c>
      <c r="D18" s="603">
        <v>0</v>
      </c>
      <c r="E18" s="603">
        <v>0</v>
      </c>
      <c r="F18" s="596">
        <f t="shared" si="0"/>
        <v>0</v>
      </c>
    </row>
    <row r="19" spans="1:6" ht="15.75" thickBot="1">
      <c r="A19" s="597"/>
      <c r="B19" s="598"/>
      <c r="C19" s="598"/>
      <c r="D19" s="598"/>
      <c r="E19" s="598"/>
      <c r="F19" s="599"/>
    </row>
  </sheetData>
  <mergeCells count="20">
    <mergeCell ref="A18:B18"/>
    <mergeCell ref="A12:B12"/>
    <mergeCell ref="A13:B13"/>
    <mergeCell ref="A14:B14"/>
    <mergeCell ref="A15:B15"/>
    <mergeCell ref="A16:B16"/>
    <mergeCell ref="A17:B17"/>
    <mergeCell ref="BD1:BJ4"/>
    <mergeCell ref="BK1:BQ4"/>
    <mergeCell ref="C3:D4"/>
    <mergeCell ref="A11:B11"/>
    <mergeCell ref="A1:B4"/>
    <mergeCell ref="C1:D2"/>
    <mergeCell ref="E1:E4"/>
    <mergeCell ref="F1:F4"/>
    <mergeCell ref="A6:B6"/>
    <mergeCell ref="A7:B7"/>
    <mergeCell ref="A8:B8"/>
    <mergeCell ref="A9:B9"/>
    <mergeCell ref="A10:B1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67"/>
  <sheetViews>
    <sheetView zoomScale="80" zoomScaleNormal="80" workbookViewId="0" topLeftCell="A1">
      <pane xSplit="4" ySplit="15" topLeftCell="Z16" activePane="bottomRight" state="frozen"/>
      <selection pane="topLeft" activeCell="A245" sqref="A245:D245"/>
      <selection pane="topRight" activeCell="A245" sqref="A245:D245"/>
      <selection pane="bottomLeft" activeCell="A245" sqref="A245:D245"/>
      <selection pane="bottomRight" activeCell="BH15" sqref="BH15:BQ15"/>
    </sheetView>
  </sheetViews>
  <sheetFormatPr defaultColWidth="11.421875" defaultRowHeight="15"/>
  <cols>
    <col min="1" max="1" width="6.421875" style="2" customWidth="1"/>
    <col min="2" max="2" width="27.28125" style="1" customWidth="1"/>
    <col min="3" max="3" width="41.8515625" style="2" customWidth="1"/>
    <col min="4" max="4" width="38.00390625" style="2" customWidth="1"/>
    <col min="5" max="5" width="20.140625" style="2" bestFit="1" customWidth="1"/>
    <col min="6" max="6" width="9.00390625" style="2" customWidth="1"/>
    <col min="7" max="7" width="16.57421875" style="2" customWidth="1"/>
    <col min="8" max="8" width="22.421875" style="2" bestFit="1" customWidth="1"/>
    <col min="9" max="9" width="15.00390625" style="560" bestFit="1" customWidth="1"/>
    <col min="10" max="10" width="22.28125" style="2" customWidth="1"/>
    <col min="11" max="11" width="12.00390625" style="2" bestFit="1" customWidth="1"/>
    <col min="12" max="12" width="17.421875" style="2" customWidth="1"/>
    <col min="13" max="23" width="4.57421875" style="2" customWidth="1"/>
    <col min="24" max="24" width="4.57421875" style="272" customWidth="1"/>
    <col min="25" max="25" width="14.28125" style="272" customWidth="1"/>
    <col min="26" max="26" width="20.7109375" style="561" customWidth="1"/>
    <col min="27" max="27" width="27.8515625" style="2" customWidth="1"/>
    <col min="28" max="28" width="14.421875" style="272" hidden="1" customWidth="1"/>
    <col min="29" max="29" width="14.421875" style="1343" hidden="1" customWidth="1"/>
    <col min="30" max="30" width="11.421875" style="1520" hidden="1" customWidth="1"/>
    <col min="31" max="32" width="11.421875" style="1369" hidden="1" customWidth="1"/>
    <col min="33" max="33" width="14.28125" style="1369" hidden="1" customWidth="1"/>
    <col min="34" max="36" width="11.421875" style="2" hidden="1" customWidth="1"/>
    <col min="37" max="37" width="25.140625" style="2" hidden="1" customWidth="1"/>
    <col min="38" max="38" width="22.28125" style="2" hidden="1" customWidth="1"/>
    <col min="39" max="39" width="11.421875" style="2" hidden="1" customWidth="1"/>
    <col min="40" max="40" width="11.421875" style="1650" hidden="1" customWidth="1"/>
    <col min="41" max="41" width="11.421875" style="2" hidden="1" customWidth="1"/>
    <col min="42" max="44" width="11.421875" style="1650" hidden="1" customWidth="1"/>
    <col min="45" max="46" width="11.421875" style="2" hidden="1" customWidth="1"/>
    <col min="47" max="47" width="25.8515625" style="2" hidden="1" customWidth="1"/>
    <col min="48" max="48" width="26.8515625" style="2" hidden="1" customWidth="1"/>
    <col min="49" max="49" width="26.8515625" style="2072" hidden="1" customWidth="1"/>
    <col min="50" max="54" width="11.421875" style="2" hidden="1" customWidth="1"/>
    <col min="55" max="55" width="11.00390625" style="2" hidden="1" customWidth="1"/>
    <col min="56" max="56" width="12.00390625" style="2" hidden="1" customWidth="1"/>
    <col min="57" max="57" width="12.421875" style="2" hidden="1" customWidth="1"/>
    <col min="58" max="58" width="48.57421875" style="2" hidden="1" customWidth="1"/>
    <col min="59" max="59" width="32.00390625" style="2" hidden="1" customWidth="1"/>
    <col min="60" max="67" width="11.421875" style="2" customWidth="1"/>
    <col min="68" max="68" width="41.421875" style="2" customWidth="1"/>
    <col min="69" max="69" width="31.00390625" style="2" customWidth="1"/>
    <col min="70" max="16384" width="11.421875" style="2" customWidth="1"/>
  </cols>
  <sheetData>
    <row r="1" spans="1:56"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c r="BD1" s="2600"/>
    </row>
    <row r="2" spans="1:56"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c r="BD2" s="2602"/>
    </row>
    <row r="3" spans="1:56"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c r="BD3" s="2604"/>
    </row>
    <row r="4" spans="1:56"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606"/>
      <c r="AX4" s="2606"/>
      <c r="AY4" s="2606"/>
      <c r="AZ4" s="2606"/>
      <c r="BA4" s="2606"/>
      <c r="BB4" s="2606"/>
      <c r="BC4" s="2606"/>
      <c r="BD4" s="2606"/>
    </row>
    <row r="5" spans="1:69"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073"/>
      <c r="AX5" s="2520" t="s">
        <v>2852</v>
      </c>
      <c r="AY5" s="2521"/>
      <c r="AZ5" s="2521"/>
      <c r="BA5" s="2521"/>
      <c r="BB5" s="2521"/>
      <c r="BC5" s="2521"/>
      <c r="BD5" s="2521"/>
      <c r="BE5" s="2521"/>
      <c r="BF5" s="2521"/>
      <c r="BG5" s="2522"/>
      <c r="BH5" s="2575" t="s">
        <v>2856</v>
      </c>
      <c r="BI5" s="2576"/>
      <c r="BJ5" s="2576"/>
      <c r="BK5" s="2576"/>
      <c r="BL5" s="2576"/>
      <c r="BM5" s="2576"/>
      <c r="BN5" s="2576"/>
      <c r="BO5" s="2576"/>
      <c r="BP5" s="2576"/>
      <c r="BQ5" s="2577"/>
    </row>
    <row r="6" spans="1:69"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073"/>
      <c r="AX6" s="2523"/>
      <c r="AY6" s="2524"/>
      <c r="AZ6" s="2524"/>
      <c r="BA6" s="2524"/>
      <c r="BB6" s="2524"/>
      <c r="BC6" s="2524"/>
      <c r="BD6" s="2524"/>
      <c r="BE6" s="2524"/>
      <c r="BF6" s="2524"/>
      <c r="BG6" s="2525"/>
      <c r="BH6" s="2578"/>
      <c r="BI6" s="2579"/>
      <c r="BJ6" s="2579"/>
      <c r="BK6" s="2579"/>
      <c r="BL6" s="2579"/>
      <c r="BM6" s="2579"/>
      <c r="BN6" s="2579"/>
      <c r="BO6" s="2579"/>
      <c r="BP6" s="2579"/>
      <c r="BQ6" s="2580"/>
    </row>
    <row r="7" spans="1:69"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1788</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074"/>
      <c r="AX7" s="2523"/>
      <c r="AY7" s="2524"/>
      <c r="AZ7" s="2524"/>
      <c r="BA7" s="2524"/>
      <c r="BB7" s="2524"/>
      <c r="BC7" s="2524"/>
      <c r="BD7" s="2524"/>
      <c r="BE7" s="2524"/>
      <c r="BF7" s="2524"/>
      <c r="BG7" s="2525"/>
      <c r="BH7" s="2578"/>
      <c r="BI7" s="2579"/>
      <c r="BJ7" s="2579"/>
      <c r="BK7" s="2579"/>
      <c r="BL7" s="2579"/>
      <c r="BM7" s="2579"/>
      <c r="BN7" s="2579"/>
      <c r="BO7" s="2579"/>
      <c r="BP7" s="2579"/>
      <c r="BQ7" s="2580"/>
    </row>
    <row r="8" spans="1:69"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074"/>
      <c r="AX8" s="2523"/>
      <c r="AY8" s="2524"/>
      <c r="AZ8" s="2524"/>
      <c r="BA8" s="2524"/>
      <c r="BB8" s="2524"/>
      <c r="BC8" s="2524"/>
      <c r="BD8" s="2524"/>
      <c r="BE8" s="2524"/>
      <c r="BF8" s="2524"/>
      <c r="BG8" s="2525"/>
      <c r="BH8" s="2578"/>
      <c r="BI8" s="2579"/>
      <c r="BJ8" s="2579"/>
      <c r="BK8" s="2579"/>
      <c r="BL8" s="2579"/>
      <c r="BM8" s="2579"/>
      <c r="BN8" s="2579"/>
      <c r="BO8" s="2579"/>
      <c r="BP8" s="2579"/>
      <c r="BQ8" s="2580"/>
    </row>
    <row r="9" spans="1:69"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074"/>
      <c r="AX9" s="2526"/>
      <c r="AY9" s="2527"/>
      <c r="AZ9" s="2527"/>
      <c r="BA9" s="2527"/>
      <c r="BB9" s="2527"/>
      <c r="BC9" s="2527"/>
      <c r="BD9" s="2527"/>
      <c r="BE9" s="2527"/>
      <c r="BF9" s="2527"/>
      <c r="BG9" s="2528"/>
      <c r="BH9" s="2581"/>
      <c r="BI9" s="2582"/>
      <c r="BJ9" s="2582"/>
      <c r="BK9" s="2582"/>
      <c r="BL9" s="2582"/>
      <c r="BM9" s="2582"/>
      <c r="BN9" s="2582"/>
      <c r="BO9" s="2582"/>
      <c r="BP9" s="2582"/>
      <c r="BQ9" s="2583"/>
    </row>
    <row r="10" spans="1:69" ht="9" customHeight="1" thickBot="1">
      <c r="A10" s="3"/>
      <c r="B10" s="4"/>
      <c r="C10" s="3"/>
      <c r="D10" s="3"/>
      <c r="E10" s="3"/>
      <c r="F10" s="237"/>
      <c r="G10" s="3"/>
      <c r="H10" s="3"/>
      <c r="I10" s="521"/>
      <c r="J10" s="3"/>
      <c r="K10" s="239"/>
      <c r="L10" s="239"/>
      <c r="M10" s="3"/>
      <c r="N10" s="3"/>
      <c r="O10" s="3"/>
      <c r="P10" s="3"/>
      <c r="Q10" s="3"/>
      <c r="R10" s="3"/>
      <c r="S10" s="3"/>
      <c r="T10" s="3"/>
      <c r="U10" s="3"/>
      <c r="V10" s="3"/>
      <c r="W10" s="3"/>
      <c r="X10" s="240"/>
      <c r="Y10" s="240"/>
      <c r="Z10" s="522"/>
      <c r="AA10" s="3"/>
      <c r="AB10" s="1293"/>
      <c r="AC10" s="1306"/>
      <c r="AD10" s="1505"/>
      <c r="AE10" s="1306"/>
      <c r="AF10" s="1306"/>
      <c r="AG10" s="1306"/>
      <c r="AH10" s="242"/>
      <c r="AI10" s="242"/>
      <c r="AJ10" s="242"/>
      <c r="AK10" s="242"/>
      <c r="AL10" s="242"/>
      <c r="AM10"/>
      <c r="AN10"/>
      <c r="AO10"/>
      <c r="AP10"/>
      <c r="AQ10"/>
      <c r="AR10"/>
      <c r="AS10"/>
      <c r="AT10"/>
      <c r="AU10"/>
      <c r="AV10"/>
      <c r="AW10" s="2075"/>
      <c r="AX10"/>
      <c r="AY10"/>
      <c r="AZ10"/>
      <c r="BA10"/>
      <c r="BB10"/>
      <c r="BC10"/>
      <c r="BD10"/>
      <c r="BH10"/>
      <c r="BI10"/>
      <c r="BJ10"/>
      <c r="BK10"/>
      <c r="BL10"/>
      <c r="BM10"/>
      <c r="BN10"/>
      <c r="BO10" s="2327"/>
      <c r="BP10" s="2327"/>
      <c r="BQ10" s="2327"/>
    </row>
    <row r="11" spans="1:69" s="3" customFormat="1" ht="21" customHeight="1" thickBot="1">
      <c r="A11" s="2641" t="s">
        <v>7</v>
      </c>
      <c r="B11" s="2641"/>
      <c r="C11" s="2641"/>
      <c r="D11" s="2641"/>
      <c r="E11" s="2642" t="s">
        <v>1181</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37" t="s">
        <v>1181</v>
      </c>
      <c r="AC11" s="2637"/>
      <c r="AD11" s="2637"/>
      <c r="AE11" s="2637"/>
      <c r="AF11" s="2637"/>
      <c r="AG11" s="2637"/>
      <c r="AH11" s="2637"/>
      <c r="AI11" s="2637"/>
      <c r="AJ11" s="2637"/>
      <c r="AK11" s="2637"/>
      <c r="AL11" s="2637"/>
      <c r="AM11" s="2637" t="s">
        <v>1181</v>
      </c>
      <c r="AN11" s="2637"/>
      <c r="AO11" s="2637"/>
      <c r="AP11" s="2637"/>
      <c r="AQ11" s="2637"/>
      <c r="AR11" s="2637"/>
      <c r="AS11" s="2637"/>
      <c r="AT11" s="2637"/>
      <c r="AU11" s="2637"/>
      <c r="AV11" s="2637"/>
      <c r="AW11" s="2076"/>
      <c r="AX11" s="2586" t="s">
        <v>1181</v>
      </c>
      <c r="AY11" s="2587"/>
      <c r="AZ11" s="2587"/>
      <c r="BA11" s="2587"/>
      <c r="BB11" s="2587"/>
      <c r="BC11" s="2587"/>
      <c r="BD11" s="2587"/>
      <c r="BE11" s="2587"/>
      <c r="BF11" s="2587"/>
      <c r="BG11" s="2587"/>
      <c r="BH11" s="2586" t="s">
        <v>1181</v>
      </c>
      <c r="BI11" s="2587"/>
      <c r="BJ11" s="2587"/>
      <c r="BK11" s="2587"/>
      <c r="BL11" s="2587"/>
      <c r="BM11" s="2587"/>
      <c r="BN11" s="2587"/>
      <c r="BO11" s="2587"/>
      <c r="BP11" s="2587"/>
      <c r="BQ11" s="2587"/>
    </row>
    <row r="12" spans="2:49" s="13" customFormat="1" ht="9.95" customHeight="1" thickBot="1">
      <c r="B12" s="14"/>
      <c r="F12" s="243"/>
      <c r="I12" s="523"/>
      <c r="K12" s="245"/>
      <c r="L12" s="245"/>
      <c r="X12" s="246"/>
      <c r="Y12" s="246"/>
      <c r="Z12" s="388"/>
      <c r="AB12" s="1294"/>
      <c r="AC12" s="1307"/>
      <c r="AD12" s="1506"/>
      <c r="AE12" s="1307"/>
      <c r="AF12" s="1307"/>
      <c r="AG12" s="1307"/>
      <c r="AH12" s="248"/>
      <c r="AI12" s="248"/>
      <c r="AJ12" s="248"/>
      <c r="AK12" s="248"/>
      <c r="AL12" s="248"/>
      <c r="AW12" s="2077"/>
    </row>
    <row r="13" spans="1:69" s="4" customFormat="1" ht="21" customHeight="1" thickBot="1">
      <c r="A13" s="2645" t="s">
        <v>9</v>
      </c>
      <c r="B13" s="2646"/>
      <c r="C13" s="2646"/>
      <c r="D13" s="2647"/>
      <c r="E13" s="2648" t="s">
        <v>554</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51" t="s">
        <v>554</v>
      </c>
      <c r="AC13" s="2651"/>
      <c r="AD13" s="2651"/>
      <c r="AE13" s="2651"/>
      <c r="AF13" s="2651"/>
      <c r="AG13" s="2651"/>
      <c r="AH13" s="2651"/>
      <c r="AI13" s="2651"/>
      <c r="AJ13" s="2651"/>
      <c r="AK13" s="2651"/>
      <c r="AL13" s="2651"/>
      <c r="AM13" s="2651" t="s">
        <v>554</v>
      </c>
      <c r="AN13" s="2651"/>
      <c r="AO13" s="2651"/>
      <c r="AP13" s="2651"/>
      <c r="AQ13" s="2651"/>
      <c r="AR13" s="2651"/>
      <c r="AS13" s="2651"/>
      <c r="AT13" s="2651"/>
      <c r="AU13" s="2651"/>
      <c r="AV13" s="2651"/>
      <c r="AW13" s="2076"/>
      <c r="AX13" s="2588" t="s">
        <v>554</v>
      </c>
      <c r="AY13" s="2589"/>
      <c r="AZ13" s="2589"/>
      <c r="BA13" s="2589"/>
      <c r="BB13" s="2589"/>
      <c r="BC13" s="2589"/>
      <c r="BD13" s="2589"/>
      <c r="BE13" s="2589"/>
      <c r="BF13" s="2589"/>
      <c r="BG13" s="2589"/>
      <c r="BH13" s="2588" t="s">
        <v>554</v>
      </c>
      <c r="BI13" s="2589"/>
      <c r="BJ13" s="2589"/>
      <c r="BK13" s="2589"/>
      <c r="BL13" s="2589"/>
      <c r="BM13" s="2589"/>
      <c r="BN13" s="2589"/>
      <c r="BO13" s="2589"/>
      <c r="BP13" s="2589"/>
      <c r="BQ13" s="2589"/>
    </row>
    <row r="14" spans="1:66" s="13" customFormat="1" ht="9.95" customHeight="1" thickBot="1">
      <c r="A14" s="481"/>
      <c r="B14" s="196"/>
      <c r="C14" s="481"/>
      <c r="D14" s="481"/>
      <c r="E14" s="481"/>
      <c r="F14" s="197"/>
      <c r="G14" s="481"/>
      <c r="H14" s="481"/>
      <c r="I14" s="524"/>
      <c r="J14" s="481"/>
      <c r="K14" s="481"/>
      <c r="L14" s="481"/>
      <c r="M14" s="481"/>
      <c r="N14" s="481"/>
      <c r="O14" s="481"/>
      <c r="P14" s="481"/>
      <c r="Q14" s="481"/>
      <c r="R14" s="481"/>
      <c r="S14" s="481"/>
      <c r="T14" s="481"/>
      <c r="U14" s="481"/>
      <c r="V14" s="481"/>
      <c r="W14" s="481"/>
      <c r="X14" s="200"/>
      <c r="Y14" s="200"/>
      <c r="Z14" s="525"/>
      <c r="AA14" s="481"/>
      <c r="AB14" s="1295"/>
      <c r="AC14" s="1314"/>
      <c r="AD14" s="1507"/>
      <c r="AE14" s="1314"/>
      <c r="AF14" s="1314"/>
      <c r="AG14" s="1314"/>
      <c r="AH14" s="394"/>
      <c r="AI14" s="394"/>
      <c r="AJ14" s="394"/>
      <c r="AK14" s="394"/>
      <c r="AL14" s="394"/>
      <c r="AM14" s="395"/>
      <c r="AN14" s="395"/>
      <c r="AO14" s="395"/>
      <c r="AP14" s="395"/>
      <c r="AQ14" s="395"/>
      <c r="AR14" s="395"/>
      <c r="AS14" s="395"/>
      <c r="AT14" s="395"/>
      <c r="AU14" s="395"/>
      <c r="AV14" s="395"/>
      <c r="AW14" s="2078"/>
      <c r="AX14" s="395"/>
      <c r="AY14" s="395"/>
      <c r="AZ14" s="395"/>
      <c r="BA14" s="395"/>
      <c r="BB14" s="395"/>
      <c r="BC14" s="395"/>
      <c r="BD14" s="395"/>
      <c r="BH14" s="395"/>
      <c r="BI14" s="395"/>
      <c r="BJ14" s="395"/>
      <c r="BK14" s="395"/>
      <c r="BL14" s="395"/>
      <c r="BM14" s="395"/>
      <c r="BN14" s="395"/>
    </row>
    <row r="15" spans="1:69" s="35" customFormat="1" ht="36.75" thickBot="1">
      <c r="A15" s="22" t="s">
        <v>11</v>
      </c>
      <c r="B15" s="396" t="s">
        <v>12</v>
      </c>
      <c r="C15" s="22" t="s">
        <v>13</v>
      </c>
      <c r="D15" s="397" t="s">
        <v>14</v>
      </c>
      <c r="E15" s="316" t="s">
        <v>15</v>
      </c>
      <c r="F15" s="317" t="s">
        <v>16</v>
      </c>
      <c r="G15" s="318" t="s">
        <v>17</v>
      </c>
      <c r="H15" s="318" t="s">
        <v>18</v>
      </c>
      <c r="I15" s="526" t="s">
        <v>19</v>
      </c>
      <c r="J15" s="318" t="s">
        <v>20</v>
      </c>
      <c r="K15" s="318" t="s">
        <v>21</v>
      </c>
      <c r="L15" s="318" t="s">
        <v>22</v>
      </c>
      <c r="M15" s="320" t="s">
        <v>23</v>
      </c>
      <c r="N15" s="320" t="s">
        <v>24</v>
      </c>
      <c r="O15" s="320" t="s">
        <v>25</v>
      </c>
      <c r="P15" s="320" t="s">
        <v>26</v>
      </c>
      <c r="Q15" s="320" t="s">
        <v>27</v>
      </c>
      <c r="R15" s="320" t="s">
        <v>28</v>
      </c>
      <c r="S15" s="320" t="s">
        <v>29</v>
      </c>
      <c r="T15" s="320" t="s">
        <v>30</v>
      </c>
      <c r="U15" s="320" t="s">
        <v>31</v>
      </c>
      <c r="V15" s="320" t="s">
        <v>32</v>
      </c>
      <c r="W15" s="320" t="s">
        <v>33</v>
      </c>
      <c r="X15" s="527" t="s">
        <v>34</v>
      </c>
      <c r="Y15" s="321" t="s">
        <v>35</v>
      </c>
      <c r="Z15" s="528" t="s">
        <v>36</v>
      </c>
      <c r="AA15" s="322" t="s">
        <v>37</v>
      </c>
      <c r="AB15" s="1296" t="s">
        <v>38</v>
      </c>
      <c r="AC15" s="1613" t="s">
        <v>1781</v>
      </c>
      <c r="AD15" s="1508" t="s">
        <v>39</v>
      </c>
      <c r="AE15" s="1614" t="s">
        <v>1821</v>
      </c>
      <c r="AF15" s="1614" t="s">
        <v>1822</v>
      </c>
      <c r="AG15" s="1613" t="s">
        <v>1783</v>
      </c>
      <c r="AH15" s="32" t="s">
        <v>40</v>
      </c>
      <c r="AI15" s="32" t="s">
        <v>41</v>
      </c>
      <c r="AJ15" s="32" t="s">
        <v>42</v>
      </c>
      <c r="AK15" s="32" t="s">
        <v>43</v>
      </c>
      <c r="AL15" s="32" t="s">
        <v>44</v>
      </c>
      <c r="AM15" s="33" t="s">
        <v>45</v>
      </c>
      <c r="AN15" s="33" t="s">
        <v>1781</v>
      </c>
      <c r="AO15" s="33" t="s">
        <v>46</v>
      </c>
      <c r="AP15" s="33" t="s">
        <v>2193</v>
      </c>
      <c r="AQ15" s="33" t="s">
        <v>1822</v>
      </c>
      <c r="AR15" s="33" t="s">
        <v>2194</v>
      </c>
      <c r="AS15" s="33" t="s">
        <v>41</v>
      </c>
      <c r="AT15" s="33" t="s">
        <v>42</v>
      </c>
      <c r="AU15" s="33" t="s">
        <v>43</v>
      </c>
      <c r="AV15" s="33" t="s">
        <v>44</v>
      </c>
      <c r="AW15" s="2079" t="s">
        <v>2753</v>
      </c>
      <c r="AX15" s="1983" t="s">
        <v>47</v>
      </c>
      <c r="AY15" s="1983" t="s">
        <v>1781</v>
      </c>
      <c r="AZ15" s="1983" t="s">
        <v>48</v>
      </c>
      <c r="BA15" s="1983" t="s">
        <v>2453</v>
      </c>
      <c r="BB15" s="1983" t="s">
        <v>1822</v>
      </c>
      <c r="BC15" s="1984" t="s">
        <v>2489</v>
      </c>
      <c r="BD15" s="1983" t="s">
        <v>41</v>
      </c>
      <c r="BE15" s="1983" t="s">
        <v>42</v>
      </c>
      <c r="BF15" s="1986" t="s">
        <v>43</v>
      </c>
      <c r="BG15" s="1986" t="s">
        <v>44</v>
      </c>
      <c r="BH15" s="2079" t="s">
        <v>49</v>
      </c>
      <c r="BI15" s="2079" t="s">
        <v>1781</v>
      </c>
      <c r="BJ15" s="2079" t="s">
        <v>50</v>
      </c>
      <c r="BK15" s="2079" t="s">
        <v>2946</v>
      </c>
      <c r="BL15" s="2079" t="s">
        <v>1822</v>
      </c>
      <c r="BM15" s="2079" t="s">
        <v>2947</v>
      </c>
      <c r="BN15" s="2079" t="s">
        <v>41</v>
      </c>
      <c r="BO15" s="2079" t="s">
        <v>42</v>
      </c>
      <c r="BP15" s="2079" t="s">
        <v>43</v>
      </c>
      <c r="BQ15" s="2479" t="s">
        <v>44</v>
      </c>
    </row>
    <row r="16" spans="1:69" s="34" customFormat="1" ht="116.25" customHeight="1" thickBot="1">
      <c r="A16" s="2655"/>
      <c r="B16" s="2655"/>
      <c r="C16" s="504" t="s">
        <v>1117</v>
      </c>
      <c r="D16" s="529" t="s">
        <v>2100</v>
      </c>
      <c r="E16" s="59" t="s">
        <v>72</v>
      </c>
      <c r="F16" s="511" t="s">
        <v>2101</v>
      </c>
      <c r="G16" s="59" t="s">
        <v>2102</v>
      </c>
      <c r="H16" s="1663" t="s">
        <v>1185</v>
      </c>
      <c r="I16" s="251">
        <v>0.25</v>
      </c>
      <c r="J16" s="61" t="s">
        <v>2103</v>
      </c>
      <c r="K16" s="62">
        <v>42036</v>
      </c>
      <c r="L16" s="62">
        <v>42369</v>
      </c>
      <c r="M16" s="137"/>
      <c r="N16" s="137"/>
      <c r="O16" s="137"/>
      <c r="P16" s="137"/>
      <c r="Q16" s="137"/>
      <c r="R16" s="137"/>
      <c r="S16" s="137"/>
      <c r="T16" s="137"/>
      <c r="U16" s="137"/>
      <c r="V16" s="137"/>
      <c r="W16" s="137"/>
      <c r="X16" s="137"/>
      <c r="Y16" s="506" t="s">
        <v>100</v>
      </c>
      <c r="Z16" s="140">
        <v>0</v>
      </c>
      <c r="AA16" s="217" t="s">
        <v>1090</v>
      </c>
      <c r="AB16" s="1292">
        <f aca="true" t="shared" si="0" ref="AB16:AB27">SUM(M16:N16)</f>
        <v>0</v>
      </c>
      <c r="AC16" s="1311">
        <f aca="true" t="shared" si="1" ref="AC16:AC27">IF(AB16=0,0%,100%)</f>
        <v>0</v>
      </c>
      <c r="AD16" s="1509">
        <v>0</v>
      </c>
      <c r="AE16" s="1311" t="s">
        <v>1090</v>
      </c>
      <c r="AF16" s="1311" t="e">
        <f aca="true" t="shared" si="2" ref="AF16:AF19">AD16/Y16</f>
        <v>#VALUE!</v>
      </c>
      <c r="AG16" s="1311" t="e">
        <f aca="true" t="shared" si="3" ref="AG16:AG19">AF16</f>
        <v>#VALUE!</v>
      </c>
      <c r="AH16" s="99"/>
      <c r="AI16" s="99"/>
      <c r="AJ16" s="99"/>
      <c r="AK16" s="99"/>
      <c r="AL16" s="99"/>
      <c r="AM16" s="1688">
        <f>SUM(M16:P16)</f>
        <v>0</v>
      </c>
      <c r="AN16" s="1698">
        <f aca="true" t="shared" si="4" ref="AN16:AN27">IF(AM16=0,0%,100%)</f>
        <v>0</v>
      </c>
      <c r="AO16" s="1695">
        <v>0</v>
      </c>
      <c r="AP16" s="1723" t="s">
        <v>1090</v>
      </c>
      <c r="AQ16" s="1699" t="s">
        <v>1090</v>
      </c>
      <c r="AR16" s="1698" t="s">
        <v>1090</v>
      </c>
      <c r="AS16" s="1747">
        <v>0</v>
      </c>
      <c r="AT16" s="1688"/>
      <c r="AU16" s="1688"/>
      <c r="AV16" s="1688"/>
      <c r="AW16" s="2080" t="s">
        <v>1090</v>
      </c>
      <c r="AX16" s="2067">
        <f>SUM(Q16:R16)</f>
        <v>0</v>
      </c>
      <c r="AY16" s="2081">
        <f aca="true" t="shared" si="5" ref="AY16:AY27">IF(AX16=0,0%,100%)</f>
        <v>0</v>
      </c>
      <c r="AZ16" s="2067" t="s">
        <v>1090</v>
      </c>
      <c r="BA16" s="2081" t="s">
        <v>1090</v>
      </c>
      <c r="BB16" s="2081" t="s">
        <v>1090</v>
      </c>
      <c r="BC16" s="2081" t="s">
        <v>1090</v>
      </c>
      <c r="BD16" s="2305">
        <v>0</v>
      </c>
      <c r="BE16" s="2067" t="s">
        <v>1090</v>
      </c>
      <c r="BF16" s="1986" t="s">
        <v>2490</v>
      </c>
      <c r="BG16" s="1986" t="s">
        <v>2490</v>
      </c>
      <c r="BH16" s="2367">
        <f>SUM(M16:T16)</f>
        <v>0</v>
      </c>
      <c r="BI16" s="2368">
        <f aca="true" t="shared" si="6" ref="BI16:BI27">IF(BH16=0,0%,100%)</f>
        <v>0</v>
      </c>
      <c r="BJ16" s="2367" t="s">
        <v>1090</v>
      </c>
      <c r="BK16" s="2368" t="s">
        <v>1090</v>
      </c>
      <c r="BL16" s="2368" t="s">
        <v>1090</v>
      </c>
      <c r="BM16" s="2368" t="s">
        <v>1090</v>
      </c>
      <c r="BN16" s="2369"/>
      <c r="BO16" s="2367"/>
      <c r="BP16" s="2366" t="s">
        <v>2490</v>
      </c>
      <c r="BQ16" s="2366" t="s">
        <v>2490</v>
      </c>
    </row>
    <row r="17" spans="1:69" s="49" customFormat="1" ht="66.75" customHeight="1" thickBot="1">
      <c r="A17" s="2655"/>
      <c r="B17" s="2655"/>
      <c r="C17" s="1657" t="s">
        <v>1143</v>
      </c>
      <c r="D17" s="254" t="s">
        <v>2104</v>
      </c>
      <c r="E17" s="530" t="s">
        <v>1183</v>
      </c>
      <c r="F17" s="531">
        <v>2</v>
      </c>
      <c r="G17" s="531" t="s">
        <v>1184</v>
      </c>
      <c r="H17" s="442" t="s">
        <v>1185</v>
      </c>
      <c r="I17" s="251">
        <v>0.25</v>
      </c>
      <c r="J17" s="61" t="s">
        <v>2105</v>
      </c>
      <c r="K17" s="62">
        <v>42005</v>
      </c>
      <c r="L17" s="62">
        <v>42369</v>
      </c>
      <c r="M17" s="532"/>
      <c r="N17" s="371"/>
      <c r="O17" s="372"/>
      <c r="P17" s="373"/>
      <c r="Q17" s="371"/>
      <c r="R17" s="373"/>
      <c r="S17" s="371">
        <v>1</v>
      </c>
      <c r="T17" s="372"/>
      <c r="U17" s="376"/>
      <c r="V17" s="375"/>
      <c r="W17" s="374">
        <v>1</v>
      </c>
      <c r="X17" s="533"/>
      <c r="Y17" s="506">
        <f aca="true" t="shared" si="7" ref="Y17:Y19">SUM(M17:X17)</f>
        <v>2</v>
      </c>
      <c r="Z17" s="96">
        <v>0</v>
      </c>
      <c r="AA17" s="97" t="s">
        <v>1090</v>
      </c>
      <c r="AB17" s="1292">
        <f t="shared" si="0"/>
        <v>0</v>
      </c>
      <c r="AC17" s="1311">
        <f t="shared" si="1"/>
        <v>0</v>
      </c>
      <c r="AD17" s="1509">
        <v>0</v>
      </c>
      <c r="AE17" s="1311" t="s">
        <v>1090</v>
      </c>
      <c r="AF17" s="1311">
        <f t="shared" si="2"/>
        <v>0</v>
      </c>
      <c r="AG17" s="1311">
        <f t="shared" si="3"/>
        <v>0</v>
      </c>
      <c r="AH17" s="99"/>
      <c r="AI17" s="98"/>
      <c r="AJ17" s="98"/>
      <c r="AK17" s="98"/>
      <c r="AL17" s="98"/>
      <c r="AM17" s="1688">
        <f aca="true" t="shared" si="8" ref="AM17:AM19">SUM(M17:P17)</f>
        <v>0</v>
      </c>
      <c r="AN17" s="1698">
        <f t="shared" si="4"/>
        <v>0</v>
      </c>
      <c r="AO17" s="1694">
        <v>0</v>
      </c>
      <c r="AP17" s="1723" t="s">
        <v>1090</v>
      </c>
      <c r="AQ17" s="1699">
        <f aca="true" t="shared" si="9" ref="AQ17:AQ19">AO17/Y17</f>
        <v>0</v>
      </c>
      <c r="AR17" s="1698">
        <v>0</v>
      </c>
      <c r="AS17" s="1748">
        <v>0</v>
      </c>
      <c r="AT17" s="1689"/>
      <c r="AU17" s="1689"/>
      <c r="AV17" s="1689"/>
      <c r="AW17" s="2080" t="s">
        <v>1090</v>
      </c>
      <c r="AX17" s="2067">
        <f>SUM(Q17:R17)</f>
        <v>0</v>
      </c>
      <c r="AY17" s="2081">
        <f t="shared" si="5"/>
        <v>0</v>
      </c>
      <c r="AZ17" s="2082" t="s">
        <v>1090</v>
      </c>
      <c r="BA17" s="2081" t="s">
        <v>1090</v>
      </c>
      <c r="BB17" s="2081">
        <v>0</v>
      </c>
      <c r="BC17" s="2081">
        <v>0</v>
      </c>
      <c r="BD17" s="2305">
        <v>0</v>
      </c>
      <c r="BE17" s="2083" t="s">
        <v>1090</v>
      </c>
      <c r="BF17" s="1987" t="s">
        <v>2491</v>
      </c>
      <c r="BG17" s="1987" t="s">
        <v>2493</v>
      </c>
      <c r="BH17" s="2367">
        <f aca="true" t="shared" si="10" ref="BH17:BH19">SUM(M17:T17)</f>
        <v>1</v>
      </c>
      <c r="BI17" s="2368">
        <f t="shared" si="6"/>
        <v>1</v>
      </c>
      <c r="BJ17" s="2370">
        <v>0</v>
      </c>
      <c r="BK17" s="2368">
        <v>0</v>
      </c>
      <c r="BL17" s="2368">
        <v>0</v>
      </c>
      <c r="BM17" s="2368">
        <v>0</v>
      </c>
      <c r="BN17" s="2369"/>
      <c r="BO17" s="2371"/>
      <c r="BP17" s="2372" t="s">
        <v>1090</v>
      </c>
      <c r="BQ17" s="2372" t="s">
        <v>2948</v>
      </c>
    </row>
    <row r="18" spans="1:69" s="34" customFormat="1" ht="101.25" customHeight="1" thickBot="1">
      <c r="A18" s="2655"/>
      <c r="B18" s="2655"/>
      <c r="C18" s="2656" t="s">
        <v>1188</v>
      </c>
      <c r="D18" s="1664" t="s">
        <v>2106</v>
      </c>
      <c r="E18" s="104" t="s">
        <v>1189</v>
      </c>
      <c r="F18" s="112">
        <v>2</v>
      </c>
      <c r="G18" s="104" t="s">
        <v>1190</v>
      </c>
      <c r="H18" s="40" t="s">
        <v>1182</v>
      </c>
      <c r="I18" s="251">
        <v>0.25</v>
      </c>
      <c r="J18" s="1665" t="s">
        <v>1191</v>
      </c>
      <c r="K18" s="43">
        <v>42005</v>
      </c>
      <c r="L18" s="43">
        <v>42369</v>
      </c>
      <c r="M18" s="44"/>
      <c r="N18" s="44"/>
      <c r="O18" s="44"/>
      <c r="P18" s="44"/>
      <c r="Q18" s="44"/>
      <c r="R18" s="44"/>
      <c r="S18" s="44"/>
      <c r="T18" s="44"/>
      <c r="U18" s="44"/>
      <c r="V18" s="44"/>
      <c r="W18" s="44"/>
      <c r="X18" s="44">
        <v>2</v>
      </c>
      <c r="Y18" s="506">
        <f t="shared" si="7"/>
        <v>2</v>
      </c>
      <c r="Z18" s="46">
        <v>0</v>
      </c>
      <c r="AA18" s="97" t="s">
        <v>1090</v>
      </c>
      <c r="AB18" s="1292">
        <f t="shared" si="0"/>
        <v>0</v>
      </c>
      <c r="AC18" s="1311">
        <f t="shared" si="1"/>
        <v>0</v>
      </c>
      <c r="AD18" s="1510">
        <v>0</v>
      </c>
      <c r="AE18" s="1311" t="s">
        <v>1090</v>
      </c>
      <c r="AF18" s="1311">
        <f t="shared" si="2"/>
        <v>0</v>
      </c>
      <c r="AG18" s="1311">
        <f t="shared" si="3"/>
        <v>0</v>
      </c>
      <c r="AH18" s="48"/>
      <c r="AI18" s="47"/>
      <c r="AJ18" s="47"/>
      <c r="AK18" s="98"/>
      <c r="AL18" s="47"/>
      <c r="AM18" s="1688">
        <f t="shared" si="8"/>
        <v>0</v>
      </c>
      <c r="AN18" s="1698">
        <f t="shared" si="4"/>
        <v>0</v>
      </c>
      <c r="AO18" s="1694">
        <v>0</v>
      </c>
      <c r="AP18" s="1723" t="s">
        <v>1090</v>
      </c>
      <c r="AQ18" s="1699">
        <f t="shared" si="9"/>
        <v>0</v>
      </c>
      <c r="AR18" s="1698">
        <v>0</v>
      </c>
      <c r="AS18" s="1743">
        <v>0</v>
      </c>
      <c r="AT18" s="1690"/>
      <c r="AU18" s="1690"/>
      <c r="AV18" s="1690"/>
      <c r="AW18" s="2080" t="s">
        <v>1090</v>
      </c>
      <c r="AX18" s="2067">
        <f>SUM(Q18:R18)</f>
        <v>0</v>
      </c>
      <c r="AY18" s="2081">
        <f t="shared" si="5"/>
        <v>0</v>
      </c>
      <c r="AZ18" s="2082" t="s">
        <v>1090</v>
      </c>
      <c r="BA18" s="2081" t="s">
        <v>1090</v>
      </c>
      <c r="BB18" s="2081">
        <v>0</v>
      </c>
      <c r="BC18" s="2081">
        <v>0</v>
      </c>
      <c r="BD18" s="2305">
        <v>0</v>
      </c>
      <c r="BE18" s="2082" t="s">
        <v>1090</v>
      </c>
      <c r="BF18" s="1987" t="s">
        <v>1090</v>
      </c>
      <c r="BG18" s="1987" t="s">
        <v>2494</v>
      </c>
      <c r="BH18" s="2367">
        <f t="shared" si="10"/>
        <v>0</v>
      </c>
      <c r="BI18" s="2368">
        <f t="shared" si="6"/>
        <v>0</v>
      </c>
      <c r="BJ18" s="2370">
        <v>0</v>
      </c>
      <c r="BK18" s="2368" t="s">
        <v>1090</v>
      </c>
      <c r="BL18" s="2368">
        <v>0</v>
      </c>
      <c r="BM18" s="2368">
        <v>0</v>
      </c>
      <c r="BN18" s="2369"/>
      <c r="BO18" s="2370"/>
      <c r="BP18" s="2372" t="s">
        <v>1090</v>
      </c>
      <c r="BQ18" s="2372" t="s">
        <v>2948</v>
      </c>
    </row>
    <row r="19" spans="1:69" s="34" customFormat="1" ht="64.5" thickBot="1">
      <c r="A19" s="2655"/>
      <c r="B19" s="2655"/>
      <c r="C19" s="2657"/>
      <c r="D19" s="520" t="s">
        <v>1192</v>
      </c>
      <c r="E19" s="104" t="s">
        <v>1189</v>
      </c>
      <c r="F19" s="112">
        <v>3</v>
      </c>
      <c r="G19" s="104" t="s">
        <v>1190</v>
      </c>
      <c r="H19" s="40" t="s">
        <v>1182</v>
      </c>
      <c r="I19" s="251">
        <v>0.25</v>
      </c>
      <c r="J19" s="42" t="s">
        <v>1193</v>
      </c>
      <c r="K19" s="43">
        <v>42005</v>
      </c>
      <c r="L19" s="43">
        <v>42369</v>
      </c>
      <c r="M19" s="44"/>
      <c r="N19" s="44"/>
      <c r="O19" s="44"/>
      <c r="P19" s="44"/>
      <c r="Q19" s="44"/>
      <c r="R19" s="44"/>
      <c r="S19" s="44"/>
      <c r="T19" s="44"/>
      <c r="U19" s="44"/>
      <c r="V19" s="44"/>
      <c r="W19" s="44"/>
      <c r="X19" s="44">
        <v>3</v>
      </c>
      <c r="Y19" s="506">
        <f t="shared" si="7"/>
        <v>3</v>
      </c>
      <c r="Z19" s="46">
        <v>0</v>
      </c>
      <c r="AA19" s="97" t="s">
        <v>1090</v>
      </c>
      <c r="AB19" s="1292">
        <f t="shared" si="0"/>
        <v>0</v>
      </c>
      <c r="AC19" s="1311">
        <f t="shared" si="1"/>
        <v>0</v>
      </c>
      <c r="AD19" s="1510">
        <v>0</v>
      </c>
      <c r="AE19" s="1311" t="e">
        <f aca="true" t="shared" si="11" ref="AE19">AD19/AB19</f>
        <v>#DIV/0!</v>
      </c>
      <c r="AF19" s="1311">
        <f t="shared" si="2"/>
        <v>0</v>
      </c>
      <c r="AG19" s="1311">
        <f t="shared" si="3"/>
        <v>0</v>
      </c>
      <c r="AH19" s="48"/>
      <c r="AI19" s="47"/>
      <c r="AJ19" s="47"/>
      <c r="AK19" s="1367" t="s">
        <v>1974</v>
      </c>
      <c r="AL19" s="1368" t="s">
        <v>1975</v>
      </c>
      <c r="AM19" s="1688">
        <f t="shared" si="8"/>
        <v>0</v>
      </c>
      <c r="AN19" s="1698">
        <f t="shared" si="4"/>
        <v>0</v>
      </c>
      <c r="AO19" s="1694">
        <v>0</v>
      </c>
      <c r="AP19" s="1723" t="s">
        <v>1090</v>
      </c>
      <c r="AQ19" s="1699">
        <f t="shared" si="9"/>
        <v>0</v>
      </c>
      <c r="AR19" s="1698">
        <v>0</v>
      </c>
      <c r="AS19" s="1743">
        <v>0</v>
      </c>
      <c r="AT19" s="1690"/>
      <c r="AU19" s="1690"/>
      <c r="AV19" s="1690"/>
      <c r="AW19" s="2080">
        <f aca="true" t="shared" si="12" ref="AW19:AW67">SUM(AD19+AO19+AZ19)</f>
        <v>3</v>
      </c>
      <c r="AX19" s="2067">
        <f>SUM(Q19:R19)</f>
        <v>0</v>
      </c>
      <c r="AY19" s="2081">
        <f t="shared" si="5"/>
        <v>0</v>
      </c>
      <c r="AZ19" s="2082">
        <v>3</v>
      </c>
      <c r="BA19" s="2081">
        <v>1</v>
      </c>
      <c r="BB19" s="2081">
        <f>AZ19/Y19</f>
        <v>1</v>
      </c>
      <c r="BC19" s="2081">
        <f aca="true" t="shared" si="13" ref="BC19:BC24">AW19/Y19</f>
        <v>1</v>
      </c>
      <c r="BD19" s="2305">
        <v>0</v>
      </c>
      <c r="BE19" s="2082" t="s">
        <v>1090</v>
      </c>
      <c r="BF19" s="1987" t="s">
        <v>2492</v>
      </c>
      <c r="BG19" s="1987" t="s">
        <v>1090</v>
      </c>
      <c r="BH19" s="2367">
        <f t="shared" si="10"/>
        <v>0</v>
      </c>
      <c r="BI19" s="2368">
        <f t="shared" si="6"/>
        <v>0</v>
      </c>
      <c r="BJ19" s="2370">
        <v>3</v>
      </c>
      <c r="BK19" s="2368">
        <v>1</v>
      </c>
      <c r="BL19" s="2368">
        <v>1</v>
      </c>
      <c r="BM19" s="2368">
        <v>1</v>
      </c>
      <c r="BN19" s="2369"/>
      <c r="BO19" s="2370"/>
      <c r="BP19" s="2372" t="s">
        <v>1090</v>
      </c>
      <c r="BQ19" s="2372" t="s">
        <v>1090</v>
      </c>
    </row>
    <row r="20" spans="1:69" s="34" customFormat="1" ht="20.1" customHeight="1" thickBot="1">
      <c r="A20" s="2652" t="s">
        <v>130</v>
      </c>
      <c r="B20" s="2653"/>
      <c r="C20" s="2653"/>
      <c r="D20" s="2654"/>
      <c r="E20" s="470"/>
      <c r="F20" s="470"/>
      <c r="G20" s="470"/>
      <c r="H20" s="470"/>
      <c r="I20" s="86">
        <f>SUM(I16:I19)</f>
        <v>1</v>
      </c>
      <c r="J20" s="470"/>
      <c r="K20" s="470"/>
      <c r="L20" s="470"/>
      <c r="M20" s="470"/>
      <c r="N20" s="470"/>
      <c r="O20" s="470"/>
      <c r="P20" s="470"/>
      <c r="Q20" s="470"/>
      <c r="R20" s="470"/>
      <c r="S20" s="470"/>
      <c r="T20" s="470"/>
      <c r="U20" s="470"/>
      <c r="V20" s="470"/>
      <c r="W20" s="470"/>
      <c r="X20" s="87"/>
      <c r="Y20" s="87"/>
      <c r="Z20" s="88">
        <f>SUM(Z16:Z17)</f>
        <v>0</v>
      </c>
      <c r="AA20" s="471"/>
      <c r="AB20" s="1493"/>
      <c r="AC20" s="1494" t="e">
        <f>AVERAGEIF(AC16:AC19,"&gt;0")</f>
        <v>#DIV/0!</v>
      </c>
      <c r="AD20" s="1511"/>
      <c r="AE20" s="1494" t="e">
        <f>AVERAGE(AE16:AE19)</f>
        <v>#DIV/0!</v>
      </c>
      <c r="AF20" s="1494"/>
      <c r="AG20" s="1494" t="e">
        <f>AVERAGE(AG16:AG19)</f>
        <v>#VALUE!</v>
      </c>
      <c r="AH20" s="91"/>
      <c r="AI20" s="91"/>
      <c r="AJ20" s="91"/>
      <c r="AK20" s="91"/>
      <c r="AL20" s="91"/>
      <c r="AM20" s="1850"/>
      <c r="AN20" s="1851">
        <v>1</v>
      </c>
      <c r="AO20" s="1850"/>
      <c r="AP20" s="1851" t="s">
        <v>1090</v>
      </c>
      <c r="AQ20" s="1852"/>
      <c r="AR20" s="1851">
        <f>AVERAGE(AR16:AR19)</f>
        <v>0</v>
      </c>
      <c r="AS20" s="1850"/>
      <c r="AT20" s="1850"/>
      <c r="AU20" s="1850"/>
      <c r="AV20" s="1850"/>
      <c r="AW20" s="2080">
        <f t="shared" si="12"/>
        <v>0</v>
      </c>
      <c r="AX20" s="636"/>
      <c r="AY20" s="1721">
        <v>1</v>
      </c>
      <c r="AZ20" s="636"/>
      <c r="BA20" s="1261">
        <f>AVERAGE(BA16:BA19)</f>
        <v>1</v>
      </c>
      <c r="BB20" s="636"/>
      <c r="BC20" s="1722">
        <f>AVERAGE(BC16:BC19)</f>
        <v>0.3333333333333333</v>
      </c>
      <c r="BD20" s="636"/>
      <c r="BE20" s="636"/>
      <c r="BF20" s="1325"/>
      <c r="BG20" s="1325"/>
      <c r="BH20" s="636"/>
      <c r="BI20" s="1721">
        <v>1</v>
      </c>
      <c r="BJ20" s="636"/>
      <c r="BK20" s="1261">
        <f>AVERAGE(BK16:BK19)</f>
        <v>0.5</v>
      </c>
      <c r="BL20" s="636"/>
      <c r="BM20" s="1722">
        <f>AVERAGE(BM16:BM19)</f>
        <v>0.3333333333333333</v>
      </c>
      <c r="BN20" s="636"/>
      <c r="BO20" s="636"/>
      <c r="BP20" s="1325"/>
      <c r="BQ20" s="1325"/>
    </row>
    <row r="21" spans="1:69" s="49" customFormat="1" ht="99" customHeight="1" thickBot="1">
      <c r="A21" s="2658">
        <v>2</v>
      </c>
      <c r="B21" s="2658" t="s">
        <v>628</v>
      </c>
      <c r="C21" s="480" t="s">
        <v>787</v>
      </c>
      <c r="D21" s="1660" t="s">
        <v>2107</v>
      </c>
      <c r="E21" s="132" t="s">
        <v>152</v>
      </c>
      <c r="F21" s="534" t="s">
        <v>100</v>
      </c>
      <c r="G21" s="1666" t="s">
        <v>2108</v>
      </c>
      <c r="H21" s="65" t="s">
        <v>2109</v>
      </c>
      <c r="I21" s="251">
        <v>0.2</v>
      </c>
      <c r="J21" s="65" t="s">
        <v>2105</v>
      </c>
      <c r="K21" s="62">
        <v>42005</v>
      </c>
      <c r="L21" s="62">
        <v>42369</v>
      </c>
      <c r="M21" s="137"/>
      <c r="N21" s="137"/>
      <c r="O21" s="137"/>
      <c r="P21" s="137"/>
      <c r="Q21" s="137"/>
      <c r="R21" s="137"/>
      <c r="S21" s="137"/>
      <c r="T21" s="137"/>
      <c r="U21" s="535"/>
      <c r="V21" s="535"/>
      <c r="W21" s="535"/>
      <c r="X21" s="536"/>
      <c r="Y21" s="537" t="s">
        <v>100</v>
      </c>
      <c r="Z21" s="140">
        <v>0</v>
      </c>
      <c r="AA21" s="217" t="s">
        <v>1090</v>
      </c>
      <c r="AB21" s="1292">
        <f t="shared" si="0"/>
        <v>0</v>
      </c>
      <c r="AC21" s="1311">
        <f t="shared" si="1"/>
        <v>0</v>
      </c>
      <c r="AD21" s="1509">
        <v>0</v>
      </c>
      <c r="AE21" s="1311" t="s">
        <v>1090</v>
      </c>
      <c r="AF21" s="1311" t="e">
        <f>AD21/Y21</f>
        <v>#VALUE!</v>
      </c>
      <c r="AG21" s="1311" t="e">
        <f>AF21</f>
        <v>#VALUE!</v>
      </c>
      <c r="AH21" s="99"/>
      <c r="AI21" s="98"/>
      <c r="AJ21" s="98"/>
      <c r="AK21" s="98"/>
      <c r="AL21" s="98"/>
      <c r="AM21" s="1692">
        <f>SUM(M21:P21)</f>
        <v>0</v>
      </c>
      <c r="AN21" s="1699">
        <f t="shared" si="4"/>
        <v>0</v>
      </c>
      <c r="AO21" s="1694">
        <v>0</v>
      </c>
      <c r="AP21" s="1699" t="s">
        <v>1090</v>
      </c>
      <c r="AQ21" s="1699" t="s">
        <v>1090</v>
      </c>
      <c r="AR21" s="1699" t="str">
        <f aca="true" t="shared" si="14" ref="AR21:AR27">IF(AN21&gt;0,AP21,"-")</f>
        <v>-</v>
      </c>
      <c r="AS21" s="1748">
        <v>0</v>
      </c>
      <c r="AT21" s="1689"/>
      <c r="AU21" s="1691" t="s">
        <v>2165</v>
      </c>
      <c r="AV21" s="1691"/>
      <c r="AW21" s="2080" t="s">
        <v>1090</v>
      </c>
      <c r="AX21" s="2084">
        <f>SUM(Q21:R21)</f>
        <v>0</v>
      </c>
      <c r="AY21" s="2085">
        <f t="shared" si="5"/>
        <v>0</v>
      </c>
      <c r="AZ21" s="2084" t="s">
        <v>1090</v>
      </c>
      <c r="BA21" s="2085" t="s">
        <v>1090</v>
      </c>
      <c r="BB21" s="2085" t="s">
        <v>1090</v>
      </c>
      <c r="BC21" s="2086" t="s">
        <v>1090</v>
      </c>
      <c r="BD21" s="2306">
        <v>0</v>
      </c>
      <c r="BE21" s="2084" t="s">
        <v>1090</v>
      </c>
      <c r="BF21" s="1988" t="s">
        <v>1090</v>
      </c>
      <c r="BG21" s="1988" t="s">
        <v>2495</v>
      </c>
      <c r="BH21" s="2339">
        <f>SUM(M21:T21)</f>
        <v>0</v>
      </c>
      <c r="BI21" s="2373">
        <f t="shared" si="6"/>
        <v>0</v>
      </c>
      <c r="BJ21" s="2339">
        <v>1</v>
      </c>
      <c r="BK21" s="2373" t="s">
        <v>1090</v>
      </c>
      <c r="BL21" s="2373" t="s">
        <v>1090</v>
      </c>
      <c r="BM21" s="2374" t="s">
        <v>1090</v>
      </c>
      <c r="BN21" s="2375"/>
      <c r="BO21" s="2339"/>
      <c r="BP21" s="2376" t="s">
        <v>2949</v>
      </c>
      <c r="BQ21" s="2376" t="s">
        <v>1090</v>
      </c>
    </row>
    <row r="22" spans="1:69" s="49" customFormat="1" ht="77.25" thickBot="1">
      <c r="A22" s="2655"/>
      <c r="B22" s="2655"/>
      <c r="C22" s="2656" t="s">
        <v>1089</v>
      </c>
      <c r="D22" s="512" t="s">
        <v>2110</v>
      </c>
      <c r="E22" s="150" t="s">
        <v>72</v>
      </c>
      <c r="F22" s="255">
        <v>1</v>
      </c>
      <c r="G22" s="53" t="s">
        <v>2111</v>
      </c>
      <c r="H22" s="65" t="s">
        <v>2112</v>
      </c>
      <c r="I22" s="251">
        <v>0.2</v>
      </c>
      <c r="J22" s="65" t="s">
        <v>1161</v>
      </c>
      <c r="K22" s="56">
        <v>42005</v>
      </c>
      <c r="L22" s="56">
        <v>42369</v>
      </c>
      <c r="M22" s="57"/>
      <c r="N22" s="57"/>
      <c r="O22" s="57"/>
      <c r="P22" s="57"/>
      <c r="Q22" s="57"/>
      <c r="R22" s="57"/>
      <c r="S22" s="57"/>
      <c r="T22" s="57"/>
      <c r="U22" s="257"/>
      <c r="V22" s="257"/>
      <c r="W22" s="257"/>
      <c r="X22" s="487">
        <v>1</v>
      </c>
      <c r="Y22" s="124">
        <v>1</v>
      </c>
      <c r="Z22" s="609">
        <v>28053333</v>
      </c>
      <c r="AA22" s="217" t="s">
        <v>1090</v>
      </c>
      <c r="AB22" s="1292">
        <f t="shared" si="0"/>
        <v>0</v>
      </c>
      <c r="AC22" s="1311">
        <f t="shared" si="1"/>
        <v>0</v>
      </c>
      <c r="AD22" s="1509">
        <v>0</v>
      </c>
      <c r="AE22" s="1311" t="s">
        <v>1090</v>
      </c>
      <c r="AF22" s="1311" t="s">
        <v>1090</v>
      </c>
      <c r="AG22" s="1311" t="str">
        <f aca="true" t="shared" si="15" ref="AG22:AG25">AF22</f>
        <v>-</v>
      </c>
      <c r="AH22" s="99"/>
      <c r="AI22" s="98"/>
      <c r="AJ22" s="98"/>
      <c r="AK22" s="98"/>
      <c r="AL22" s="98"/>
      <c r="AM22" s="1692">
        <f aca="true" t="shared" si="16" ref="AM22:AM25">SUM(M22:P22)</f>
        <v>0</v>
      </c>
      <c r="AN22" s="1699">
        <f t="shared" si="4"/>
        <v>0</v>
      </c>
      <c r="AO22" s="1694">
        <v>0</v>
      </c>
      <c r="AP22" s="1699" t="s">
        <v>1090</v>
      </c>
      <c r="AQ22" s="1699">
        <f aca="true" t="shared" si="17" ref="AQ22:AQ24">AO22/Y22</f>
        <v>0</v>
      </c>
      <c r="AR22" s="1699">
        <v>0</v>
      </c>
      <c r="AS22" s="1748">
        <v>0</v>
      </c>
      <c r="AT22" s="1689"/>
      <c r="AU22" s="1691" t="s">
        <v>2166</v>
      </c>
      <c r="AV22" s="1691" t="s">
        <v>2167</v>
      </c>
      <c r="AW22" s="2080" t="s">
        <v>1090</v>
      </c>
      <c r="AX22" s="2084">
        <f>SUM(Q22:R22)</f>
        <v>0</v>
      </c>
      <c r="AY22" s="2085">
        <f t="shared" si="5"/>
        <v>0</v>
      </c>
      <c r="AZ22" s="2084" t="s">
        <v>1090</v>
      </c>
      <c r="BA22" s="2085" t="s">
        <v>1090</v>
      </c>
      <c r="BB22" s="2085">
        <v>0</v>
      </c>
      <c r="BC22" s="2086">
        <v>0</v>
      </c>
      <c r="BD22" s="2306">
        <v>0</v>
      </c>
      <c r="BE22" s="2084" t="s">
        <v>1090</v>
      </c>
      <c r="BF22" s="1988"/>
      <c r="BG22" s="1988"/>
      <c r="BH22" s="2339">
        <f aca="true" t="shared" si="18" ref="BH22:BH25">SUM(M22:T22)</f>
        <v>0</v>
      </c>
      <c r="BI22" s="2373">
        <f t="shared" si="6"/>
        <v>0</v>
      </c>
      <c r="BJ22" s="2339">
        <v>1</v>
      </c>
      <c r="BK22" s="2373" t="s">
        <v>1090</v>
      </c>
      <c r="BL22" s="2373">
        <v>0</v>
      </c>
      <c r="BM22" s="2374">
        <v>0</v>
      </c>
      <c r="BN22" s="2375"/>
      <c r="BO22" s="2339"/>
      <c r="BP22" s="2376" t="s">
        <v>2950</v>
      </c>
      <c r="BQ22" s="2376" t="s">
        <v>2951</v>
      </c>
    </row>
    <row r="23" spans="1:69" s="49" customFormat="1" ht="64.5" thickBot="1">
      <c r="A23" s="2655"/>
      <c r="B23" s="2655"/>
      <c r="C23" s="2657"/>
      <c r="D23" s="508" t="s">
        <v>2113</v>
      </c>
      <c r="E23" s="513" t="s">
        <v>1162</v>
      </c>
      <c r="F23" s="514" t="s">
        <v>100</v>
      </c>
      <c r="G23" s="104" t="s">
        <v>1163</v>
      </c>
      <c r="H23" s="40" t="s">
        <v>2112</v>
      </c>
      <c r="I23" s="251">
        <v>0.2</v>
      </c>
      <c r="J23" s="515" t="s">
        <v>1164</v>
      </c>
      <c r="K23" s="516">
        <v>42036</v>
      </c>
      <c r="L23" s="516">
        <v>42094</v>
      </c>
      <c r="M23" s="517"/>
      <c r="N23" s="517"/>
      <c r="O23" s="517"/>
      <c r="P23" s="517"/>
      <c r="Q23" s="517"/>
      <c r="R23" s="517"/>
      <c r="S23" s="517"/>
      <c r="T23" s="517"/>
      <c r="U23" s="517"/>
      <c r="V23" s="517"/>
      <c r="W23" s="517"/>
      <c r="X23" s="517"/>
      <c r="Y23" s="518" t="s">
        <v>100</v>
      </c>
      <c r="Z23" s="140">
        <v>0</v>
      </c>
      <c r="AA23" s="217" t="s">
        <v>1090</v>
      </c>
      <c r="AB23" s="1292">
        <f t="shared" si="0"/>
        <v>0</v>
      </c>
      <c r="AC23" s="1311">
        <f t="shared" si="1"/>
        <v>0</v>
      </c>
      <c r="AD23" s="1509">
        <v>0</v>
      </c>
      <c r="AE23" s="1311" t="s">
        <v>1090</v>
      </c>
      <c r="AF23" s="1311" t="e">
        <f aca="true" t="shared" si="19" ref="AF23:AF25">AD23/Y23</f>
        <v>#VALUE!</v>
      </c>
      <c r="AG23" s="1311" t="e">
        <f t="shared" si="15"/>
        <v>#VALUE!</v>
      </c>
      <c r="AH23" s="99"/>
      <c r="AI23" s="98"/>
      <c r="AJ23" s="98"/>
      <c r="AK23" s="98"/>
      <c r="AL23" s="98"/>
      <c r="AM23" s="1692">
        <f t="shared" si="16"/>
        <v>0</v>
      </c>
      <c r="AN23" s="1699">
        <f t="shared" si="4"/>
        <v>0</v>
      </c>
      <c r="AO23" s="1694">
        <v>0</v>
      </c>
      <c r="AP23" s="1699" t="s">
        <v>1090</v>
      </c>
      <c r="AQ23" s="1699" t="s">
        <v>1090</v>
      </c>
      <c r="AR23" s="1699" t="str">
        <f t="shared" si="14"/>
        <v>-</v>
      </c>
      <c r="AS23" s="1748">
        <v>0</v>
      </c>
      <c r="AT23" s="1689"/>
      <c r="AU23" s="1691" t="s">
        <v>2168</v>
      </c>
      <c r="AV23" s="1691"/>
      <c r="AW23" s="2080">
        <f t="shared" si="12"/>
        <v>0</v>
      </c>
      <c r="AX23" s="2084">
        <f>SUM(Q23:R23)</f>
        <v>0</v>
      </c>
      <c r="AY23" s="2085">
        <f t="shared" si="5"/>
        <v>0</v>
      </c>
      <c r="AZ23" s="2084"/>
      <c r="BA23" s="2085" t="s">
        <v>1090</v>
      </c>
      <c r="BB23" s="2085" t="s">
        <v>1090</v>
      </c>
      <c r="BC23" s="2086" t="s">
        <v>1090</v>
      </c>
      <c r="BD23" s="2306">
        <v>0</v>
      </c>
      <c r="BE23" s="2084" t="s">
        <v>1090</v>
      </c>
      <c r="BF23" s="1988"/>
      <c r="BG23" s="1988"/>
      <c r="BH23" s="2339">
        <f t="shared" si="18"/>
        <v>0</v>
      </c>
      <c r="BI23" s="2373">
        <f t="shared" si="6"/>
        <v>0</v>
      </c>
      <c r="BJ23" s="2339">
        <v>0</v>
      </c>
      <c r="BK23" s="2373" t="s">
        <v>1090</v>
      </c>
      <c r="BL23" s="2373" t="s">
        <v>1090</v>
      </c>
      <c r="BM23" s="2374" t="s">
        <v>1090</v>
      </c>
      <c r="BN23" s="2375"/>
      <c r="BO23" s="2339"/>
      <c r="BP23" s="2376"/>
      <c r="BQ23" s="2376" t="s">
        <v>2952</v>
      </c>
    </row>
    <row r="24" spans="1:69" s="49" customFormat="1" ht="51.75" thickBot="1">
      <c r="A24" s="2655"/>
      <c r="B24" s="2655"/>
      <c r="C24" s="2657"/>
      <c r="D24" s="508" t="s">
        <v>2114</v>
      </c>
      <c r="E24" s="104" t="s">
        <v>2115</v>
      </c>
      <c r="F24" s="112">
        <v>1</v>
      </c>
      <c r="G24" s="104" t="s">
        <v>2116</v>
      </c>
      <c r="H24" s="40" t="s">
        <v>2112</v>
      </c>
      <c r="I24" s="251">
        <v>0.2</v>
      </c>
      <c r="J24" s="42" t="s">
        <v>2115</v>
      </c>
      <c r="K24" s="43">
        <v>42095</v>
      </c>
      <c r="L24" s="43">
        <v>42155</v>
      </c>
      <c r="M24" s="44"/>
      <c r="N24" s="44"/>
      <c r="O24" s="44"/>
      <c r="P24" s="44"/>
      <c r="Q24" s="44"/>
      <c r="R24" s="44"/>
      <c r="S24" s="44"/>
      <c r="T24" s="44"/>
      <c r="U24" s="44"/>
      <c r="V24" s="44"/>
      <c r="W24" s="44"/>
      <c r="X24" s="44">
        <v>1</v>
      </c>
      <c r="Y24" s="509">
        <v>1</v>
      </c>
      <c r="Z24" s="140">
        <v>0</v>
      </c>
      <c r="AA24" s="217" t="s">
        <v>1090</v>
      </c>
      <c r="AB24" s="1292">
        <f t="shared" si="0"/>
        <v>0</v>
      </c>
      <c r="AC24" s="1311">
        <f t="shared" si="1"/>
        <v>0</v>
      </c>
      <c r="AD24" s="1509">
        <v>0</v>
      </c>
      <c r="AE24" s="1311" t="s">
        <v>1090</v>
      </c>
      <c r="AF24" s="1311">
        <f t="shared" si="19"/>
        <v>0</v>
      </c>
      <c r="AG24" s="1311">
        <f t="shared" si="15"/>
        <v>0</v>
      </c>
      <c r="AH24" s="99"/>
      <c r="AI24" s="98"/>
      <c r="AJ24" s="98"/>
      <c r="AK24" s="98"/>
      <c r="AL24" s="98"/>
      <c r="AM24" s="1692">
        <f t="shared" si="16"/>
        <v>0</v>
      </c>
      <c r="AN24" s="1699">
        <f t="shared" si="4"/>
        <v>0</v>
      </c>
      <c r="AO24" s="1694">
        <v>0</v>
      </c>
      <c r="AP24" s="1699" t="s">
        <v>1090</v>
      </c>
      <c r="AQ24" s="1699">
        <f t="shared" si="17"/>
        <v>0</v>
      </c>
      <c r="AR24" s="1699">
        <v>0</v>
      </c>
      <c r="AS24" s="1748">
        <v>0</v>
      </c>
      <c r="AT24" s="1689"/>
      <c r="AU24" s="1691" t="s">
        <v>2168</v>
      </c>
      <c r="AV24" s="1691"/>
      <c r="AW24" s="2080">
        <f t="shared" si="12"/>
        <v>0</v>
      </c>
      <c r="AX24" s="2084">
        <f>SUM(Q24:R24)</f>
        <v>0</v>
      </c>
      <c r="AY24" s="2085">
        <f t="shared" si="5"/>
        <v>0</v>
      </c>
      <c r="AZ24" s="2084"/>
      <c r="BA24" s="2085" t="s">
        <v>1090</v>
      </c>
      <c r="BB24" s="2085">
        <f>AZ24/Y24</f>
        <v>0</v>
      </c>
      <c r="BC24" s="2086">
        <f t="shared" si="13"/>
        <v>0</v>
      </c>
      <c r="BD24" s="2306">
        <v>0</v>
      </c>
      <c r="BE24" s="2084" t="s">
        <v>1090</v>
      </c>
      <c r="BF24" s="1988"/>
      <c r="BG24" s="1988"/>
      <c r="BH24" s="2339">
        <f t="shared" si="18"/>
        <v>0</v>
      </c>
      <c r="BI24" s="2373">
        <f t="shared" si="6"/>
        <v>0</v>
      </c>
      <c r="BJ24" s="2339">
        <v>0</v>
      </c>
      <c r="BK24" s="2373" t="s">
        <v>1090</v>
      </c>
      <c r="BL24" s="2373">
        <v>0</v>
      </c>
      <c r="BM24" s="2374">
        <v>0</v>
      </c>
      <c r="BN24" s="2375"/>
      <c r="BO24" s="2339"/>
      <c r="BP24" s="2376"/>
      <c r="BQ24" s="2376" t="s">
        <v>2953</v>
      </c>
    </row>
    <row r="25" spans="1:69" s="34" customFormat="1" ht="51.75" thickBot="1">
      <c r="A25" s="2659"/>
      <c r="B25" s="2659"/>
      <c r="C25" s="483" t="s">
        <v>1178</v>
      </c>
      <c r="D25" s="519" t="s">
        <v>1194</v>
      </c>
      <c r="E25" s="216" t="s">
        <v>152</v>
      </c>
      <c r="F25" s="510" t="s">
        <v>100</v>
      </c>
      <c r="G25" s="216" t="s">
        <v>2117</v>
      </c>
      <c r="H25" s="40" t="s">
        <v>2112</v>
      </c>
      <c r="I25" s="251">
        <v>0.2</v>
      </c>
      <c r="J25" s="55" t="s">
        <v>2118</v>
      </c>
      <c r="K25" s="56">
        <v>42005</v>
      </c>
      <c r="L25" s="56">
        <v>42369</v>
      </c>
      <c r="M25" s="57"/>
      <c r="N25" s="57"/>
      <c r="O25" s="57"/>
      <c r="P25" s="57"/>
      <c r="Q25" s="57"/>
      <c r="R25" s="57"/>
      <c r="S25" s="57"/>
      <c r="T25" s="57"/>
      <c r="U25" s="57"/>
      <c r="V25" s="57"/>
      <c r="W25" s="57"/>
      <c r="X25" s="57"/>
      <c r="Y25" s="506" t="s">
        <v>100</v>
      </c>
      <c r="Z25" s="140">
        <v>0</v>
      </c>
      <c r="AA25" s="217" t="s">
        <v>1090</v>
      </c>
      <c r="AB25" s="1292">
        <f t="shared" si="0"/>
        <v>0</v>
      </c>
      <c r="AC25" s="1311">
        <f t="shared" si="1"/>
        <v>0</v>
      </c>
      <c r="AD25" s="1509">
        <v>0</v>
      </c>
      <c r="AE25" s="1311" t="s">
        <v>1090</v>
      </c>
      <c r="AF25" s="1311" t="e">
        <f t="shared" si="19"/>
        <v>#VALUE!</v>
      </c>
      <c r="AG25" s="1311" t="e">
        <f t="shared" si="15"/>
        <v>#VALUE!</v>
      </c>
      <c r="AH25" s="99"/>
      <c r="AI25" s="99"/>
      <c r="AJ25" s="99"/>
      <c r="AK25" s="99"/>
      <c r="AL25" s="99"/>
      <c r="AM25" s="1692">
        <f t="shared" si="16"/>
        <v>0</v>
      </c>
      <c r="AN25" s="1699">
        <f t="shared" si="4"/>
        <v>0</v>
      </c>
      <c r="AO25" s="1695">
        <v>0</v>
      </c>
      <c r="AP25" s="1699" t="s">
        <v>1090</v>
      </c>
      <c r="AQ25" s="1699" t="s">
        <v>1090</v>
      </c>
      <c r="AR25" s="1699" t="str">
        <f t="shared" si="14"/>
        <v>-</v>
      </c>
      <c r="AS25" s="1747">
        <v>0</v>
      </c>
      <c r="AT25" s="1688"/>
      <c r="AU25" s="1693" t="s">
        <v>2169</v>
      </c>
      <c r="AV25" s="1693"/>
      <c r="AW25" s="2080">
        <f t="shared" si="12"/>
        <v>0</v>
      </c>
      <c r="AX25" s="2084">
        <f>SUM(Q25:R25)</f>
        <v>0</v>
      </c>
      <c r="AY25" s="2085">
        <f t="shared" si="5"/>
        <v>0</v>
      </c>
      <c r="AZ25" s="615"/>
      <c r="BA25" s="2085" t="s">
        <v>1090</v>
      </c>
      <c r="BB25" s="2085" t="s">
        <v>1090</v>
      </c>
      <c r="BC25" s="2086" t="s">
        <v>1090</v>
      </c>
      <c r="BD25" s="2306">
        <v>0</v>
      </c>
      <c r="BE25" s="2184" t="s">
        <v>1090</v>
      </c>
      <c r="BF25" s="1985"/>
      <c r="BG25" s="1985"/>
      <c r="BH25" s="2339">
        <f t="shared" si="18"/>
        <v>0</v>
      </c>
      <c r="BI25" s="2373">
        <f t="shared" si="6"/>
        <v>0</v>
      </c>
      <c r="BJ25" s="2377">
        <v>2</v>
      </c>
      <c r="BK25" s="2373" t="s">
        <v>1090</v>
      </c>
      <c r="BL25" s="2373" t="s">
        <v>1090</v>
      </c>
      <c r="BM25" s="2374" t="s">
        <v>1090</v>
      </c>
      <c r="BN25" s="2375"/>
      <c r="BO25" s="2377"/>
      <c r="BP25" s="2386" t="s">
        <v>2954</v>
      </c>
      <c r="BQ25" s="2386" t="s">
        <v>1090</v>
      </c>
    </row>
    <row r="26" spans="1:69" s="34" customFormat="1" ht="20.1" customHeight="1" thickBot="1">
      <c r="A26" s="2652" t="s">
        <v>130</v>
      </c>
      <c r="B26" s="2653"/>
      <c r="C26" s="2653"/>
      <c r="D26" s="2654"/>
      <c r="E26" s="470"/>
      <c r="F26" s="470"/>
      <c r="G26" s="470"/>
      <c r="H26" s="470"/>
      <c r="I26" s="86">
        <f>SUM(I21:I25)</f>
        <v>1</v>
      </c>
      <c r="J26" s="470"/>
      <c r="K26" s="470"/>
      <c r="L26" s="470"/>
      <c r="M26" s="470"/>
      <c r="N26" s="470"/>
      <c r="O26" s="470"/>
      <c r="P26" s="470"/>
      <c r="Q26" s="470"/>
      <c r="R26" s="470"/>
      <c r="S26" s="470"/>
      <c r="T26" s="470"/>
      <c r="U26" s="470"/>
      <c r="V26" s="470"/>
      <c r="W26" s="470"/>
      <c r="X26" s="87"/>
      <c r="Y26" s="87"/>
      <c r="Z26" s="489">
        <f>SUM(Z21:Z23)</f>
        <v>28053333</v>
      </c>
      <c r="AA26" s="471"/>
      <c r="AB26" s="1497"/>
      <c r="AC26" s="1498" t="s">
        <v>1090</v>
      </c>
      <c r="AD26" s="1512"/>
      <c r="AE26" s="1498" t="s">
        <v>1090</v>
      </c>
      <c r="AF26" s="1498">
        <v>0</v>
      </c>
      <c r="AG26" s="1498" t="e">
        <f>AVERAGE(AG21:AG25)</f>
        <v>#VALUE!</v>
      </c>
      <c r="AH26" s="92"/>
      <c r="AI26" s="92"/>
      <c r="AJ26" s="92"/>
      <c r="AK26" s="92"/>
      <c r="AL26" s="92"/>
      <c r="AM26" s="1851"/>
      <c r="AN26" s="1851">
        <v>1</v>
      </c>
      <c r="AO26" s="1851"/>
      <c r="AP26" s="1851" t="s">
        <v>1090</v>
      </c>
      <c r="AQ26" s="1851"/>
      <c r="AR26" s="1851">
        <f>AVERAGE(AR21:AR25)</f>
        <v>0</v>
      </c>
      <c r="AS26" s="1851"/>
      <c r="AT26" s="1851"/>
      <c r="AU26" s="1851"/>
      <c r="AV26" s="1850"/>
      <c r="AW26" s="2080">
        <f t="shared" si="12"/>
        <v>0</v>
      </c>
      <c r="AX26" s="636"/>
      <c r="AY26" s="1721">
        <v>1</v>
      </c>
      <c r="AZ26" s="636"/>
      <c r="BA26" s="1261" t="s">
        <v>1090</v>
      </c>
      <c r="BB26" s="636"/>
      <c r="BC26" s="1722">
        <f>AVERAGE(BC21:BC25)</f>
        <v>0</v>
      </c>
      <c r="BD26" s="636"/>
      <c r="BE26" s="636"/>
      <c r="BF26" s="1325"/>
      <c r="BG26" s="1325"/>
      <c r="BH26" s="636"/>
      <c r="BI26" s="1721">
        <v>1</v>
      </c>
      <c r="BJ26" s="636"/>
      <c r="BK26" s="1261" t="s">
        <v>1090</v>
      </c>
      <c r="BL26" s="636"/>
      <c r="BM26" s="1722">
        <f>AVERAGE(BM21:BM25)</f>
        <v>0</v>
      </c>
      <c r="BN26" s="636"/>
      <c r="BO26" s="636"/>
      <c r="BP26" s="1325"/>
      <c r="BQ26" s="1325"/>
    </row>
    <row r="27" spans="1:69" s="49" customFormat="1" ht="155.25" customHeight="1" thickBot="1">
      <c r="A27" s="475">
        <v>3</v>
      </c>
      <c r="B27" s="475" t="s">
        <v>1179</v>
      </c>
      <c r="C27" s="482" t="s">
        <v>1180</v>
      </c>
      <c r="D27" s="107" t="s">
        <v>2119</v>
      </c>
      <c r="E27" s="216" t="s">
        <v>152</v>
      </c>
      <c r="F27" s="215" t="s">
        <v>100</v>
      </c>
      <c r="G27" s="216" t="s">
        <v>2117</v>
      </c>
      <c r="H27" s="54" t="s">
        <v>2109</v>
      </c>
      <c r="I27" s="538">
        <v>1</v>
      </c>
      <c r="J27" s="55" t="s">
        <v>1195</v>
      </c>
      <c r="K27" s="56">
        <v>42005</v>
      </c>
      <c r="L27" s="56">
        <v>42369</v>
      </c>
      <c r="M27" s="57"/>
      <c r="N27" s="57"/>
      <c r="O27" s="57"/>
      <c r="P27" s="57"/>
      <c r="Q27" s="57"/>
      <c r="R27" s="57"/>
      <c r="S27" s="57"/>
      <c r="T27" s="57"/>
      <c r="U27" s="57"/>
      <c r="V27" s="57"/>
      <c r="W27" s="57"/>
      <c r="X27" s="152"/>
      <c r="Y27" s="109" t="s">
        <v>100</v>
      </c>
      <c r="Z27" s="75">
        <v>0</v>
      </c>
      <c r="AA27" s="217" t="s">
        <v>1090</v>
      </c>
      <c r="AB27" s="1292">
        <f t="shared" si="0"/>
        <v>0</v>
      </c>
      <c r="AC27" s="1311">
        <f t="shared" si="1"/>
        <v>0</v>
      </c>
      <c r="AD27" s="1509"/>
      <c r="AE27" s="1311" t="s">
        <v>1090</v>
      </c>
      <c r="AF27" s="1311">
        <v>0</v>
      </c>
      <c r="AG27" s="1311">
        <f>AF27</f>
        <v>0</v>
      </c>
      <c r="AH27" s="99"/>
      <c r="AI27" s="98"/>
      <c r="AJ27" s="98"/>
      <c r="AK27" s="98"/>
      <c r="AL27" s="98"/>
      <c r="AM27" s="1692">
        <f>SUM(M27:P27)</f>
        <v>0</v>
      </c>
      <c r="AN27" s="1699">
        <f t="shared" si="4"/>
        <v>0</v>
      </c>
      <c r="AO27" s="1697">
        <v>2</v>
      </c>
      <c r="AP27" s="1700" t="s">
        <v>1090</v>
      </c>
      <c r="AQ27" s="1699" t="s">
        <v>1090</v>
      </c>
      <c r="AR27" s="1699" t="str">
        <f t="shared" si="14"/>
        <v>-</v>
      </c>
      <c r="AS27" s="1748">
        <v>0</v>
      </c>
      <c r="AT27" s="1689"/>
      <c r="AU27" s="1691" t="s">
        <v>2170</v>
      </c>
      <c r="AV27" s="1689"/>
      <c r="AW27" s="2080" t="s">
        <v>1090</v>
      </c>
      <c r="AX27" s="2084">
        <f>SUM(Q27:R27)</f>
        <v>0</v>
      </c>
      <c r="AY27" s="2085">
        <f t="shared" si="5"/>
        <v>0</v>
      </c>
      <c r="AZ27" s="2084" t="s">
        <v>1090</v>
      </c>
      <c r="BA27" s="2085" t="s">
        <v>1090</v>
      </c>
      <c r="BB27" s="2085" t="s">
        <v>1090</v>
      </c>
      <c r="BC27" s="2086" t="str">
        <f aca="true" t="shared" si="20" ref="BC27">IF(AY27&gt;0,BA27,"-")</f>
        <v>-</v>
      </c>
      <c r="BD27" s="2306">
        <v>0</v>
      </c>
      <c r="BE27" s="2084" t="s">
        <v>1090</v>
      </c>
      <c r="BF27" s="2084" t="s">
        <v>1090</v>
      </c>
      <c r="BG27" s="1988" t="s">
        <v>2496</v>
      </c>
      <c r="BH27" s="2339">
        <f>SUM(M27:T27)</f>
        <v>0</v>
      </c>
      <c r="BI27" s="2373">
        <f t="shared" si="6"/>
        <v>0</v>
      </c>
      <c r="BJ27" s="2339">
        <v>2</v>
      </c>
      <c r="BK27" s="2373" t="s">
        <v>1090</v>
      </c>
      <c r="BL27" s="2373" t="s">
        <v>1090</v>
      </c>
      <c r="BM27" s="2374" t="s">
        <v>1090</v>
      </c>
      <c r="BN27" s="2375"/>
      <c r="BO27" s="2339"/>
      <c r="BP27" s="2339" t="s">
        <v>1090</v>
      </c>
      <c r="BQ27" s="2376" t="s">
        <v>2496</v>
      </c>
    </row>
    <row r="28" spans="1:69" s="34" customFormat="1" ht="20.1" customHeight="1" thickBot="1">
      <c r="A28" s="2652" t="s">
        <v>130</v>
      </c>
      <c r="B28" s="2653"/>
      <c r="C28" s="2653"/>
      <c r="D28" s="2654"/>
      <c r="E28" s="470"/>
      <c r="F28" s="470"/>
      <c r="G28" s="470"/>
      <c r="H28" s="470"/>
      <c r="I28" s="86">
        <f>I27</f>
        <v>1</v>
      </c>
      <c r="J28" s="470"/>
      <c r="K28" s="470"/>
      <c r="L28" s="470"/>
      <c r="M28" s="470"/>
      <c r="N28" s="470"/>
      <c r="O28" s="470"/>
      <c r="P28" s="470"/>
      <c r="Q28" s="470"/>
      <c r="R28" s="470"/>
      <c r="S28" s="470"/>
      <c r="T28" s="470"/>
      <c r="U28" s="470"/>
      <c r="V28" s="470"/>
      <c r="W28" s="470"/>
      <c r="X28" s="87"/>
      <c r="Y28" s="87"/>
      <c r="Z28" s="88">
        <f>SUM(Z27:Z27)</f>
        <v>0</v>
      </c>
      <c r="AA28" s="471"/>
      <c r="AB28" s="1493"/>
      <c r="AC28" s="1494" t="s">
        <v>1090</v>
      </c>
      <c r="AD28" s="1511"/>
      <c r="AE28" s="1494" t="s">
        <v>1090</v>
      </c>
      <c r="AF28" s="1494"/>
      <c r="AG28" s="1494">
        <f>AVERAGE(AG27)</f>
        <v>0</v>
      </c>
      <c r="AH28" s="91"/>
      <c r="AI28" s="91"/>
      <c r="AJ28" s="91"/>
      <c r="AK28" s="91"/>
      <c r="AL28" s="91"/>
      <c r="AM28" s="1851"/>
      <c r="AN28" s="1851">
        <v>1</v>
      </c>
      <c r="AO28" s="1851"/>
      <c r="AP28" s="1851" t="s">
        <v>1090</v>
      </c>
      <c r="AQ28" s="1851"/>
      <c r="AR28" s="1851" t="s">
        <v>1090</v>
      </c>
      <c r="AS28" s="1851"/>
      <c r="AT28" s="1851"/>
      <c r="AU28" s="1851"/>
      <c r="AV28" s="1851"/>
      <c r="AW28" s="2080">
        <f t="shared" si="12"/>
        <v>0</v>
      </c>
      <c r="AX28" s="92"/>
      <c r="AY28" s="1875">
        <v>1</v>
      </c>
      <c r="AZ28" s="92"/>
      <c r="BA28" s="92" t="s">
        <v>1090</v>
      </c>
      <c r="BB28" s="92"/>
      <c r="BC28" s="92" t="s">
        <v>1090</v>
      </c>
      <c r="BD28" s="92"/>
      <c r="BE28" s="1325"/>
      <c r="BF28" s="1325"/>
      <c r="BG28" s="1325"/>
      <c r="BH28" s="1325"/>
      <c r="BI28" s="1875">
        <v>1</v>
      </c>
      <c r="BJ28" s="1325"/>
      <c r="BK28" s="1325" t="s">
        <v>1090</v>
      </c>
      <c r="BL28" s="1325"/>
      <c r="BM28" s="1325" t="s">
        <v>1090</v>
      </c>
      <c r="BN28" s="1325"/>
      <c r="BO28" s="1325"/>
      <c r="BP28" s="1325"/>
      <c r="BQ28" s="1325"/>
    </row>
    <row r="29" spans="1:69" s="34" customFormat="1" ht="20.1" customHeight="1" thickBot="1">
      <c r="A29" s="2660" t="s">
        <v>290</v>
      </c>
      <c r="B29" s="2661"/>
      <c r="C29" s="2661"/>
      <c r="D29" s="2662"/>
      <c r="E29" s="219"/>
      <c r="F29" s="219"/>
      <c r="G29" s="219"/>
      <c r="H29" s="477"/>
      <c r="I29" s="221">
        <f>AVERAGE(I28,I26)</f>
        <v>1</v>
      </c>
      <c r="J29" s="477"/>
      <c r="K29" s="477"/>
      <c r="L29" s="477"/>
      <c r="M29" s="477"/>
      <c r="N29" s="477"/>
      <c r="O29" s="477"/>
      <c r="P29" s="477"/>
      <c r="Q29" s="477"/>
      <c r="R29" s="477"/>
      <c r="S29" s="477"/>
      <c r="T29" s="477"/>
      <c r="U29" s="477"/>
      <c r="V29" s="477"/>
      <c r="W29" s="477"/>
      <c r="X29" s="222"/>
      <c r="Y29" s="222"/>
      <c r="Z29" s="223">
        <f>SUM(Z28,Z26,Z20)</f>
        <v>28053333</v>
      </c>
      <c r="AA29" s="478"/>
      <c r="AB29" s="1524"/>
      <c r="AC29" s="1525" t="e">
        <f>AVERAGE(AC28,AC26,AC20)</f>
        <v>#DIV/0!</v>
      </c>
      <c r="AD29" s="1526"/>
      <c r="AE29" s="1525" t="e">
        <f>AVERAGE(AE28,AE26,AE20)</f>
        <v>#DIV/0!</v>
      </c>
      <c r="AF29" s="1525"/>
      <c r="AG29" s="1525" t="e">
        <f>AVERAGE(AG28,AG26,AG20,)</f>
        <v>#VALUE!</v>
      </c>
      <c r="AH29" s="479"/>
      <c r="AI29" s="479"/>
      <c r="AJ29" s="479"/>
      <c r="AK29" s="479"/>
      <c r="AL29" s="479"/>
      <c r="AM29" s="479"/>
      <c r="AN29" s="1342">
        <f>AVERAGE(AN28,AN26,AN20)</f>
        <v>1</v>
      </c>
      <c r="AO29" s="479"/>
      <c r="AP29" s="1649" t="s">
        <v>1090</v>
      </c>
      <c r="AQ29" s="1649"/>
      <c r="AR29" s="1342">
        <f>AVERAGE(AR28,AR26,AR20)</f>
        <v>0</v>
      </c>
      <c r="AS29" s="479"/>
      <c r="AT29" s="479"/>
      <c r="AU29" s="479"/>
      <c r="AV29" s="479"/>
      <c r="AW29" s="2080">
        <f t="shared" si="12"/>
        <v>0</v>
      </c>
      <c r="AX29" s="479"/>
      <c r="AY29" s="1312">
        <v>1</v>
      </c>
      <c r="AZ29" s="479"/>
      <c r="BA29" s="1342">
        <f>AVERAGE(BA28,BA26,BA20)</f>
        <v>1</v>
      </c>
      <c r="BB29" s="479"/>
      <c r="BC29" s="1342">
        <f>AVERAGE(BC28,BC26,BC20)</f>
        <v>0.16666666666666666</v>
      </c>
      <c r="BD29" s="479"/>
      <c r="BE29" s="1980"/>
      <c r="BF29" s="1980"/>
      <c r="BG29" s="1980"/>
      <c r="BH29" s="2326"/>
      <c r="BI29" s="1312">
        <v>1</v>
      </c>
      <c r="BJ29" s="2326"/>
      <c r="BK29" s="1342">
        <f>AVERAGE(BK28,BK26,BK20)</f>
        <v>0.5</v>
      </c>
      <c r="BL29" s="2326"/>
      <c r="BM29" s="1342">
        <f>AVERAGE(BM28,BM26,BM20)</f>
        <v>0.16666666666666666</v>
      </c>
      <c r="BN29" s="2326"/>
      <c r="BO29" s="2326"/>
      <c r="BP29" s="2326"/>
      <c r="BQ29" s="2326"/>
    </row>
    <row r="30" spans="1:66" s="13" customFormat="1" ht="9.95" customHeight="1" thickBot="1">
      <c r="A30" s="2663"/>
      <c r="B30" s="2663"/>
      <c r="C30" s="2663"/>
      <c r="D30" s="2663"/>
      <c r="E30" s="2663"/>
      <c r="F30" s="2663"/>
      <c r="G30" s="2663"/>
      <c r="H30" s="2663"/>
      <c r="I30" s="2663"/>
      <c r="J30" s="2663"/>
      <c r="K30" s="2663"/>
      <c r="L30" s="2663"/>
      <c r="M30" s="2663"/>
      <c r="N30" s="2663"/>
      <c r="O30" s="2663"/>
      <c r="P30" s="2663"/>
      <c r="Q30" s="2663"/>
      <c r="R30" s="2663"/>
      <c r="S30" s="2663"/>
      <c r="T30" s="2663"/>
      <c r="U30" s="2663"/>
      <c r="V30" s="2663"/>
      <c r="W30" s="2663"/>
      <c r="X30" s="2663"/>
      <c r="Y30" s="2663"/>
      <c r="Z30" s="2663"/>
      <c r="AA30" s="2663"/>
      <c r="AB30" s="1297"/>
      <c r="AC30" s="1310"/>
      <c r="AD30" s="1514"/>
      <c r="AE30" s="1310"/>
      <c r="AF30" s="1310"/>
      <c r="AG30" s="1310"/>
      <c r="AH30" s="313"/>
      <c r="AI30" s="313"/>
      <c r="AJ30" s="313"/>
      <c r="AK30" s="313"/>
      <c r="AL30" s="313"/>
      <c r="AM30" s="314"/>
      <c r="AN30" s="314"/>
      <c r="AO30" s="314"/>
      <c r="AP30" s="314"/>
      <c r="AQ30" s="314"/>
      <c r="AR30" s="314"/>
      <c r="AS30" s="314"/>
      <c r="AT30" s="314"/>
      <c r="AU30" s="314"/>
      <c r="AV30" s="314"/>
      <c r="AW30" s="2080">
        <f t="shared" si="12"/>
        <v>0</v>
      </c>
      <c r="AX30" s="314"/>
      <c r="AY30" s="314"/>
      <c r="AZ30" s="314"/>
      <c r="BA30" s="314"/>
      <c r="BB30" s="314"/>
      <c r="BC30" s="314"/>
      <c r="BD30" s="314"/>
      <c r="BH30" s="314"/>
      <c r="BI30" s="314"/>
      <c r="BJ30" s="314"/>
      <c r="BK30" s="314"/>
      <c r="BL30" s="314"/>
      <c r="BM30" s="314"/>
      <c r="BN30" s="314"/>
    </row>
    <row r="31" spans="1:69" s="4" customFormat="1" ht="21" customHeight="1" thickBot="1">
      <c r="A31" s="2645" t="s">
        <v>9</v>
      </c>
      <c r="B31" s="2646"/>
      <c r="C31" s="2646"/>
      <c r="D31" s="2647"/>
      <c r="E31" s="2648" t="s">
        <v>813</v>
      </c>
      <c r="F31" s="2649"/>
      <c r="G31" s="2649"/>
      <c r="H31" s="2649"/>
      <c r="I31" s="2649"/>
      <c r="J31" s="2649"/>
      <c r="K31" s="2649"/>
      <c r="L31" s="2649"/>
      <c r="M31" s="2649"/>
      <c r="N31" s="2649"/>
      <c r="O31" s="2649"/>
      <c r="P31" s="2649"/>
      <c r="Q31" s="2649"/>
      <c r="R31" s="2649"/>
      <c r="S31" s="2649"/>
      <c r="T31" s="2649"/>
      <c r="U31" s="2649"/>
      <c r="V31" s="2649"/>
      <c r="W31" s="2649"/>
      <c r="X31" s="2649"/>
      <c r="Y31" s="2649"/>
      <c r="Z31" s="2649"/>
      <c r="AA31" s="2650"/>
      <c r="AB31" s="2651" t="s">
        <v>813</v>
      </c>
      <c r="AC31" s="2651"/>
      <c r="AD31" s="2651"/>
      <c r="AE31" s="2651"/>
      <c r="AF31" s="2651"/>
      <c r="AG31" s="2651"/>
      <c r="AH31" s="2651"/>
      <c r="AI31" s="2651"/>
      <c r="AJ31" s="2651"/>
      <c r="AK31" s="2651"/>
      <c r="AL31" s="2651"/>
      <c r="AM31" s="2651" t="s">
        <v>813</v>
      </c>
      <c r="AN31" s="2651"/>
      <c r="AO31" s="2651"/>
      <c r="AP31" s="2651"/>
      <c r="AQ31" s="2651"/>
      <c r="AR31" s="2651"/>
      <c r="AS31" s="2651"/>
      <c r="AT31" s="2651"/>
      <c r="AU31" s="2651"/>
      <c r="AV31" s="2651"/>
      <c r="AW31" s="2080">
        <f t="shared" si="12"/>
        <v>0</v>
      </c>
      <c r="AX31" s="2588" t="s">
        <v>813</v>
      </c>
      <c r="AY31" s="2589"/>
      <c r="AZ31" s="2589"/>
      <c r="BA31" s="2589"/>
      <c r="BB31" s="2589"/>
      <c r="BC31" s="2589"/>
      <c r="BD31" s="2589"/>
      <c r="BE31" s="2589"/>
      <c r="BF31" s="2589"/>
      <c r="BG31" s="2589"/>
      <c r="BH31" s="2588"/>
      <c r="BI31" s="2589"/>
      <c r="BJ31" s="2589"/>
      <c r="BK31" s="2589"/>
      <c r="BL31" s="2589"/>
      <c r="BM31" s="2589"/>
      <c r="BN31" s="2589"/>
      <c r="BO31" s="2589"/>
      <c r="BP31" s="2589"/>
      <c r="BQ31" s="2589"/>
    </row>
    <row r="32" spans="2:49" s="13" customFormat="1" ht="9.95" customHeight="1" thickBot="1">
      <c r="B32" s="14"/>
      <c r="F32" s="243"/>
      <c r="I32" s="523"/>
      <c r="K32" s="245"/>
      <c r="L32" s="245"/>
      <c r="X32" s="246"/>
      <c r="Y32" s="246"/>
      <c r="Z32" s="388"/>
      <c r="AB32" s="1294"/>
      <c r="AC32" s="1307"/>
      <c r="AD32" s="1506"/>
      <c r="AE32" s="1307"/>
      <c r="AF32" s="1307"/>
      <c r="AG32" s="1307"/>
      <c r="AH32" s="248"/>
      <c r="AI32" s="248"/>
      <c r="AJ32" s="248"/>
      <c r="AK32" s="248"/>
      <c r="AL32" s="248"/>
      <c r="AW32" s="2080">
        <f t="shared" si="12"/>
        <v>0</v>
      </c>
    </row>
    <row r="33" spans="1:69" s="35" customFormat="1" ht="36.75" thickBot="1">
      <c r="A33" s="22" t="s">
        <v>11</v>
      </c>
      <c r="B33" s="23" t="s">
        <v>12</v>
      </c>
      <c r="C33" s="22" t="s">
        <v>13</v>
      </c>
      <c r="D33" s="249" t="s">
        <v>14</v>
      </c>
      <c r="E33" s="24" t="s">
        <v>15</v>
      </c>
      <c r="F33" s="25" t="s">
        <v>16</v>
      </c>
      <c r="G33" s="26" t="s">
        <v>17</v>
      </c>
      <c r="H33" s="26" t="s">
        <v>18</v>
      </c>
      <c r="I33" s="539" t="s">
        <v>19</v>
      </c>
      <c r="J33" s="26" t="s">
        <v>20</v>
      </c>
      <c r="K33" s="26" t="s">
        <v>21</v>
      </c>
      <c r="L33" s="26" t="s">
        <v>22</v>
      </c>
      <c r="M33" s="28" t="s">
        <v>23</v>
      </c>
      <c r="N33" s="28" t="s">
        <v>24</v>
      </c>
      <c r="O33" s="28" t="s">
        <v>25</v>
      </c>
      <c r="P33" s="28" t="s">
        <v>26</v>
      </c>
      <c r="Q33" s="28" t="s">
        <v>27</v>
      </c>
      <c r="R33" s="28" t="s">
        <v>28</v>
      </c>
      <c r="S33" s="28" t="s">
        <v>29</v>
      </c>
      <c r="T33" s="28" t="s">
        <v>30</v>
      </c>
      <c r="U33" s="28" t="s">
        <v>31</v>
      </c>
      <c r="V33" s="28" t="s">
        <v>32</v>
      </c>
      <c r="W33" s="28" t="s">
        <v>33</v>
      </c>
      <c r="X33" s="540" t="s">
        <v>34</v>
      </c>
      <c r="Y33" s="29" t="s">
        <v>35</v>
      </c>
      <c r="Z33" s="30" t="s">
        <v>36</v>
      </c>
      <c r="AA33" s="31" t="s">
        <v>37</v>
      </c>
      <c r="AB33" s="1296" t="s">
        <v>38</v>
      </c>
      <c r="AC33" s="1613" t="s">
        <v>1781</v>
      </c>
      <c r="AD33" s="1508" t="s">
        <v>39</v>
      </c>
      <c r="AE33" s="1614" t="s">
        <v>1821</v>
      </c>
      <c r="AF33" s="1614" t="s">
        <v>1822</v>
      </c>
      <c r="AG33" s="1613" t="s">
        <v>1783</v>
      </c>
      <c r="AH33" s="32" t="s">
        <v>40</v>
      </c>
      <c r="AI33" s="32" t="s">
        <v>41</v>
      </c>
      <c r="AJ33" s="32" t="s">
        <v>42</v>
      </c>
      <c r="AK33" s="32" t="s">
        <v>43</v>
      </c>
      <c r="AL33" s="32" t="s">
        <v>44</v>
      </c>
      <c r="AM33" s="33" t="s">
        <v>45</v>
      </c>
      <c r="AN33" s="33" t="s">
        <v>1781</v>
      </c>
      <c r="AO33" s="33" t="s">
        <v>46</v>
      </c>
      <c r="AP33" s="33" t="s">
        <v>2193</v>
      </c>
      <c r="AQ33" s="33" t="s">
        <v>1822</v>
      </c>
      <c r="AR33" s="33" t="s">
        <v>2194</v>
      </c>
      <c r="AS33" s="33" t="s">
        <v>41</v>
      </c>
      <c r="AT33" s="33" t="s">
        <v>42</v>
      </c>
      <c r="AU33" s="33" t="s">
        <v>43</v>
      </c>
      <c r="AV33" s="33" t="s">
        <v>44</v>
      </c>
      <c r="AW33" s="2080" t="s">
        <v>1090</v>
      </c>
      <c r="AX33" s="1983" t="s">
        <v>47</v>
      </c>
      <c r="AY33" s="1983" t="s">
        <v>1781</v>
      </c>
      <c r="AZ33" s="1983" t="s">
        <v>48</v>
      </c>
      <c r="BA33" s="1983" t="s">
        <v>2453</v>
      </c>
      <c r="BB33" s="1983" t="s">
        <v>1822</v>
      </c>
      <c r="BC33" s="1984" t="s">
        <v>2489</v>
      </c>
      <c r="BD33" s="1983" t="s">
        <v>41</v>
      </c>
      <c r="BE33" s="1983" t="s">
        <v>42</v>
      </c>
      <c r="BF33" s="1986" t="s">
        <v>43</v>
      </c>
      <c r="BG33" s="1986" t="s">
        <v>44</v>
      </c>
      <c r="BH33" s="2364" t="s">
        <v>47</v>
      </c>
      <c r="BI33" s="2364" t="s">
        <v>1781</v>
      </c>
      <c r="BJ33" s="2364" t="s">
        <v>48</v>
      </c>
      <c r="BK33" s="2364" t="s">
        <v>2453</v>
      </c>
      <c r="BL33" s="2364" t="s">
        <v>1822</v>
      </c>
      <c r="BM33" s="2365" t="s">
        <v>2489</v>
      </c>
      <c r="BN33" s="2364" t="s">
        <v>41</v>
      </c>
      <c r="BO33" s="2364" t="s">
        <v>42</v>
      </c>
      <c r="BP33" s="2366" t="s">
        <v>43</v>
      </c>
      <c r="BQ33" s="2366" t="s">
        <v>44</v>
      </c>
    </row>
    <row r="34" spans="1:69" s="49" customFormat="1" ht="101.25" customHeight="1" thickBot="1">
      <c r="A34" s="1656">
        <v>1</v>
      </c>
      <c r="B34" s="1656" t="s">
        <v>1196</v>
      </c>
      <c r="C34" s="1658" t="s">
        <v>1197</v>
      </c>
      <c r="D34" s="250" t="s">
        <v>2120</v>
      </c>
      <c r="E34" s="65" t="s">
        <v>231</v>
      </c>
      <c r="F34" s="65">
        <v>6</v>
      </c>
      <c r="G34" s="65" t="s">
        <v>1198</v>
      </c>
      <c r="H34" s="65" t="s">
        <v>2121</v>
      </c>
      <c r="I34" s="251">
        <v>1</v>
      </c>
      <c r="J34" s="65" t="s">
        <v>1199</v>
      </c>
      <c r="K34" s="67">
        <v>42005</v>
      </c>
      <c r="L34" s="67">
        <v>42369</v>
      </c>
      <c r="M34" s="114"/>
      <c r="N34" s="114"/>
      <c r="O34" s="114"/>
      <c r="P34" s="114"/>
      <c r="Q34" s="114"/>
      <c r="R34" s="115"/>
      <c r="S34" s="115"/>
      <c r="T34" s="114"/>
      <c r="U34" s="115"/>
      <c r="V34" s="115"/>
      <c r="W34" s="115"/>
      <c r="X34" s="115">
        <v>6</v>
      </c>
      <c r="Y34" s="121">
        <v>6</v>
      </c>
      <c r="Z34" s="75">
        <v>0</v>
      </c>
      <c r="AA34" s="278" t="s">
        <v>1090</v>
      </c>
      <c r="AB34" s="1292">
        <f aca="true" t="shared" si="21" ref="AB34:AB50">SUM(M34:N34)</f>
        <v>0</v>
      </c>
      <c r="AC34" s="1311">
        <f aca="true" t="shared" si="22" ref="AC34:AC50">IF(AB34=0,0%,100%)</f>
        <v>0</v>
      </c>
      <c r="AD34" s="1509">
        <v>0</v>
      </c>
      <c r="AE34" s="1311" t="s">
        <v>1090</v>
      </c>
      <c r="AF34" s="1311">
        <f>AD34/Y34</f>
        <v>0</v>
      </c>
      <c r="AG34" s="1311">
        <f>AF34</f>
        <v>0</v>
      </c>
      <c r="AH34" s="99"/>
      <c r="AI34" s="98"/>
      <c r="AJ34" s="99"/>
      <c r="AK34" s="98"/>
      <c r="AL34" s="98"/>
      <c r="AM34" s="1692">
        <f>SUM(M34:P34)</f>
        <v>0</v>
      </c>
      <c r="AN34" s="1699">
        <f aca="true" t="shared" si="23" ref="AN34:AN50">IF(AM34=0,0%,100%)</f>
        <v>0</v>
      </c>
      <c r="AO34" s="1694">
        <v>0</v>
      </c>
      <c r="AP34" s="1699" t="s">
        <v>1090</v>
      </c>
      <c r="AQ34" s="1699">
        <f>AO34/Y34</f>
        <v>0</v>
      </c>
      <c r="AR34" s="1699">
        <v>0</v>
      </c>
      <c r="AS34" s="1748">
        <v>0</v>
      </c>
      <c r="AT34" s="1689"/>
      <c r="AU34" s="1691" t="s">
        <v>2171</v>
      </c>
      <c r="AV34" s="1689"/>
      <c r="AW34" s="2080" t="s">
        <v>1090</v>
      </c>
      <c r="AX34" s="2084">
        <f>SUM(Q34:R34)</f>
        <v>0</v>
      </c>
      <c r="AY34" s="2085">
        <f aca="true" t="shared" si="24" ref="AY34:AY50">IF(AX34=0,0%,100%)</f>
        <v>0</v>
      </c>
      <c r="AZ34" s="2084" t="s">
        <v>1090</v>
      </c>
      <c r="BA34" s="2085" t="s">
        <v>1090</v>
      </c>
      <c r="BB34" s="2085">
        <v>0</v>
      </c>
      <c r="BC34" s="2086">
        <v>0</v>
      </c>
      <c r="BD34" s="2306">
        <v>0</v>
      </c>
      <c r="BE34" s="2084" t="s">
        <v>1090</v>
      </c>
      <c r="BF34" s="1988" t="s">
        <v>2497</v>
      </c>
      <c r="BG34" s="1988" t="s">
        <v>2498</v>
      </c>
      <c r="BH34" s="2339">
        <f>SUM(M34:T34)</f>
        <v>0</v>
      </c>
      <c r="BI34" s="2373">
        <f aca="true" t="shared" si="25" ref="BI34:BI50">IF(BH34=0,0%,100%)</f>
        <v>0</v>
      </c>
      <c r="BJ34" s="2339">
        <v>0</v>
      </c>
      <c r="BK34" s="2373" t="s">
        <v>1090</v>
      </c>
      <c r="BL34" s="2373">
        <v>0</v>
      </c>
      <c r="BM34" s="2374">
        <v>0</v>
      </c>
      <c r="BN34" s="2375"/>
      <c r="BO34" s="2339"/>
      <c r="BP34" s="2376" t="s">
        <v>2955</v>
      </c>
      <c r="BQ34" s="2376"/>
    </row>
    <row r="35" spans="1:69" s="34" customFormat="1" ht="20.1" customHeight="1" thickBot="1">
      <c r="A35" s="2652" t="s">
        <v>130</v>
      </c>
      <c r="B35" s="2653"/>
      <c r="C35" s="2653"/>
      <c r="D35" s="2654"/>
      <c r="E35" s="470"/>
      <c r="F35" s="470"/>
      <c r="G35" s="470"/>
      <c r="H35" s="470"/>
      <c r="I35" s="86">
        <f>SUM(I34:I34)</f>
        <v>1</v>
      </c>
      <c r="J35" s="470"/>
      <c r="K35" s="470"/>
      <c r="L35" s="470"/>
      <c r="M35" s="470"/>
      <c r="N35" s="470"/>
      <c r="O35" s="470"/>
      <c r="P35" s="470"/>
      <c r="Q35" s="470"/>
      <c r="R35" s="470"/>
      <c r="S35" s="470"/>
      <c r="T35" s="470"/>
      <c r="U35" s="470"/>
      <c r="V35" s="470"/>
      <c r="W35" s="470"/>
      <c r="X35" s="87"/>
      <c r="Y35" s="87" t="e">
        <f>SUM(#REF!)</f>
        <v>#REF!</v>
      </c>
      <c r="Z35" s="88">
        <f>SUM(Z34:Z34)</f>
        <v>0</v>
      </c>
      <c r="AA35" s="471"/>
      <c r="AB35" s="1500"/>
      <c r="AC35" s="1501" t="s">
        <v>1090</v>
      </c>
      <c r="AD35" s="1515"/>
      <c r="AE35" s="1501" t="s">
        <v>1090</v>
      </c>
      <c r="AF35" s="1501"/>
      <c r="AG35" s="1501">
        <f>AVERAGE(AG34:AG34)</f>
        <v>0</v>
      </c>
      <c r="AH35" s="1502"/>
      <c r="AI35" s="130"/>
      <c r="AJ35" s="130"/>
      <c r="AK35" s="130"/>
      <c r="AL35" s="130"/>
      <c r="AM35" s="1854"/>
      <c r="AN35" s="1855">
        <v>1</v>
      </c>
      <c r="AO35" s="1855"/>
      <c r="AP35" s="1855" t="s">
        <v>1090</v>
      </c>
      <c r="AQ35" s="1855"/>
      <c r="AR35" s="1855">
        <v>0</v>
      </c>
      <c r="AS35" s="1855"/>
      <c r="AT35" s="1855"/>
      <c r="AU35" s="1853"/>
      <c r="AV35" s="1853"/>
      <c r="AW35" s="2080">
        <f t="shared" si="12"/>
        <v>0</v>
      </c>
      <c r="AX35" s="708"/>
      <c r="AY35" s="2193">
        <v>1</v>
      </c>
      <c r="AZ35" s="708"/>
      <c r="BA35" s="708" t="s">
        <v>1090</v>
      </c>
      <c r="BB35" s="708"/>
      <c r="BC35" s="1722">
        <f>AVERAGE(BC34)</f>
        <v>0</v>
      </c>
      <c r="BD35" s="708"/>
      <c r="BE35" s="708"/>
      <c r="BF35" s="131"/>
      <c r="BG35" s="131"/>
      <c r="BH35" s="708"/>
      <c r="BI35" s="2193">
        <v>1</v>
      </c>
      <c r="BJ35" s="708"/>
      <c r="BK35" s="708" t="s">
        <v>1090</v>
      </c>
      <c r="BL35" s="708"/>
      <c r="BM35" s="1722">
        <v>0</v>
      </c>
      <c r="BN35" s="708"/>
      <c r="BO35" s="708"/>
      <c r="BP35" s="131"/>
      <c r="BQ35" s="131"/>
    </row>
    <row r="36" spans="1:69" s="49" customFormat="1" ht="279" customHeight="1" thickBot="1">
      <c r="A36" s="2658">
        <v>2</v>
      </c>
      <c r="B36" s="2658" t="s">
        <v>1200</v>
      </c>
      <c r="C36" s="2656" t="s">
        <v>1201</v>
      </c>
      <c r="D36" s="1667" t="s">
        <v>2122</v>
      </c>
      <c r="E36" s="64" t="s">
        <v>1202</v>
      </c>
      <c r="F36" s="64" t="s">
        <v>1203</v>
      </c>
      <c r="G36" s="64" t="s">
        <v>1202</v>
      </c>
      <c r="H36" s="262" t="s">
        <v>2123</v>
      </c>
      <c r="I36" s="251">
        <v>0.2</v>
      </c>
      <c r="J36" s="65" t="s">
        <v>1199</v>
      </c>
      <c r="K36" s="67">
        <v>42005</v>
      </c>
      <c r="L36" s="68">
        <v>42369</v>
      </c>
      <c r="M36" s="69"/>
      <c r="N36" s="70"/>
      <c r="O36" s="70"/>
      <c r="P36" s="70"/>
      <c r="Q36" s="70"/>
      <c r="R36" s="70"/>
      <c r="S36" s="70"/>
      <c r="T36" s="71"/>
      <c r="U36" s="72"/>
      <c r="V36" s="73"/>
      <c r="W36" s="73"/>
      <c r="X36" s="73"/>
      <c r="Y36" s="74" t="s">
        <v>100</v>
      </c>
      <c r="Z36" s="46">
        <v>5052000000</v>
      </c>
      <c r="AA36" s="209" t="s">
        <v>1090</v>
      </c>
      <c r="AB36" s="1292">
        <f t="shared" si="21"/>
        <v>0</v>
      </c>
      <c r="AC36" s="1311">
        <f t="shared" si="22"/>
        <v>0</v>
      </c>
      <c r="AD36" s="1509">
        <v>0</v>
      </c>
      <c r="AE36" s="1311" t="s">
        <v>1090</v>
      </c>
      <c r="AF36" s="1311" t="s">
        <v>1090</v>
      </c>
      <c r="AG36" s="1311" t="str">
        <f>AF36</f>
        <v>-</v>
      </c>
      <c r="AH36" s="99"/>
      <c r="AI36" s="98"/>
      <c r="AJ36" s="99"/>
      <c r="AK36" s="98"/>
      <c r="AL36" s="98"/>
      <c r="AM36" s="1692">
        <f>SUM(M36:P36)</f>
        <v>0</v>
      </c>
      <c r="AN36" s="1699">
        <f t="shared" si="23"/>
        <v>0</v>
      </c>
      <c r="AO36" s="1697">
        <v>2</v>
      </c>
      <c r="AP36" s="1700" t="s">
        <v>1090</v>
      </c>
      <c r="AQ36" s="1699" t="s">
        <v>1090</v>
      </c>
      <c r="AR36" s="1699" t="str">
        <f aca="true" t="shared" si="26" ref="AR36:AR40">IF(AN36&gt;0,AP36,"-")</f>
        <v>-</v>
      </c>
      <c r="AS36" s="1748">
        <v>0</v>
      </c>
      <c r="AT36" s="1689"/>
      <c r="AU36" s="1691" t="s">
        <v>2172</v>
      </c>
      <c r="AV36" s="1691" t="s">
        <v>2173</v>
      </c>
      <c r="AW36" s="2080">
        <f t="shared" si="12"/>
        <v>5</v>
      </c>
      <c r="AX36" s="2084">
        <f>SUM(Q36:R36)</f>
        <v>0</v>
      </c>
      <c r="AY36" s="2085">
        <f t="shared" si="24"/>
        <v>0</v>
      </c>
      <c r="AZ36" s="2084">
        <v>3</v>
      </c>
      <c r="BA36" s="2085">
        <v>1</v>
      </c>
      <c r="BB36" s="2085" t="s">
        <v>1090</v>
      </c>
      <c r="BC36" s="2086" t="s">
        <v>1090</v>
      </c>
      <c r="BD36" s="2306">
        <v>0</v>
      </c>
      <c r="BE36" s="625" t="s">
        <v>1090</v>
      </c>
      <c r="BF36" s="1988" t="s">
        <v>2499</v>
      </c>
      <c r="BG36" s="1988" t="s">
        <v>2500</v>
      </c>
      <c r="BH36" s="2339">
        <f>SUM(M36:T36)</f>
        <v>0</v>
      </c>
      <c r="BI36" s="2373">
        <f t="shared" si="25"/>
        <v>0</v>
      </c>
      <c r="BJ36" s="2339">
        <v>3</v>
      </c>
      <c r="BK36" s="2373" t="s">
        <v>1090</v>
      </c>
      <c r="BL36" s="2373" t="s">
        <v>1090</v>
      </c>
      <c r="BM36" s="2374" t="s">
        <v>1090</v>
      </c>
      <c r="BN36" s="2375"/>
      <c r="BO36" s="2378"/>
      <c r="BP36" s="2376" t="s">
        <v>2956</v>
      </c>
      <c r="BQ36" s="2376"/>
    </row>
    <row r="37" spans="1:69" s="49" customFormat="1" ht="87.75" customHeight="1" thickBot="1">
      <c r="A37" s="2655"/>
      <c r="B37" s="2655"/>
      <c r="C37" s="2664"/>
      <c r="D37" s="1668" t="s">
        <v>2124</v>
      </c>
      <c r="E37" s="530" t="s">
        <v>2125</v>
      </c>
      <c r="F37" s="1669">
        <v>4</v>
      </c>
      <c r="G37" s="77" t="s">
        <v>808</v>
      </c>
      <c r="H37" s="262" t="s">
        <v>2123</v>
      </c>
      <c r="I37" s="251">
        <v>0.2</v>
      </c>
      <c r="J37" s="65" t="s">
        <v>389</v>
      </c>
      <c r="K37" s="67">
        <v>42005</v>
      </c>
      <c r="L37" s="67">
        <v>42369</v>
      </c>
      <c r="M37" s="301"/>
      <c r="N37" s="280"/>
      <c r="O37" s="280"/>
      <c r="P37" s="280"/>
      <c r="Q37" s="280"/>
      <c r="R37" s="280">
        <v>1</v>
      </c>
      <c r="S37" s="280"/>
      <c r="T37" s="281">
        <v>1</v>
      </c>
      <c r="U37" s="282"/>
      <c r="V37" s="115">
        <v>1</v>
      </c>
      <c r="W37" s="115"/>
      <c r="X37" s="302">
        <v>1</v>
      </c>
      <c r="Y37" s="276">
        <v>4</v>
      </c>
      <c r="Z37" s="75">
        <v>78000000</v>
      </c>
      <c r="AA37" s="209" t="s">
        <v>1090</v>
      </c>
      <c r="AB37" s="1292">
        <f t="shared" si="21"/>
        <v>0</v>
      </c>
      <c r="AC37" s="1311">
        <f t="shared" si="22"/>
        <v>0</v>
      </c>
      <c r="AD37" s="1509">
        <v>0</v>
      </c>
      <c r="AE37" s="1311" t="s">
        <v>1090</v>
      </c>
      <c r="AF37" s="1311" t="s">
        <v>1090</v>
      </c>
      <c r="AG37" s="1311" t="str">
        <f aca="true" t="shared" si="27" ref="AG37:AG40">AF37</f>
        <v>-</v>
      </c>
      <c r="AH37" s="99"/>
      <c r="AI37" s="98"/>
      <c r="AJ37" s="99"/>
      <c r="AK37" s="98"/>
      <c r="AL37" s="98"/>
      <c r="AM37" s="1692">
        <f aca="true" t="shared" si="28" ref="AM37:AM40">SUM(M37:P37)</f>
        <v>0</v>
      </c>
      <c r="AN37" s="1699">
        <f t="shared" si="23"/>
        <v>0</v>
      </c>
      <c r="AO37" s="1697">
        <v>0</v>
      </c>
      <c r="AP37" s="1699" t="s">
        <v>1090</v>
      </c>
      <c r="AQ37" s="1699">
        <f aca="true" t="shared" si="29" ref="AQ37:AQ39">AO37/Y37</f>
        <v>0</v>
      </c>
      <c r="AR37" s="1699">
        <v>0</v>
      </c>
      <c r="AS37" s="1748">
        <v>0</v>
      </c>
      <c r="AT37" s="1689"/>
      <c r="AU37" s="1691" t="s">
        <v>2174</v>
      </c>
      <c r="AV37" s="1691" t="s">
        <v>2175</v>
      </c>
      <c r="AW37" s="2080">
        <f t="shared" si="12"/>
        <v>6</v>
      </c>
      <c r="AX37" s="2084">
        <f>SUM(Q37:R37)</f>
        <v>1</v>
      </c>
      <c r="AY37" s="2085">
        <f t="shared" si="24"/>
        <v>1</v>
      </c>
      <c r="AZ37" s="2084">
        <v>6</v>
      </c>
      <c r="BA37" s="2085">
        <v>1</v>
      </c>
      <c r="BB37" s="2085">
        <v>1</v>
      </c>
      <c r="BC37" s="2086">
        <v>1</v>
      </c>
      <c r="BD37" s="2306">
        <v>0</v>
      </c>
      <c r="BE37" s="625" t="s">
        <v>1090</v>
      </c>
      <c r="BF37" s="1988" t="s">
        <v>2501</v>
      </c>
      <c r="BG37" s="1988" t="s">
        <v>1770</v>
      </c>
      <c r="BH37" s="2339">
        <f aca="true" t="shared" si="30" ref="BH37:BH40">SUM(M37:T37)</f>
        <v>2</v>
      </c>
      <c r="BI37" s="2373">
        <f t="shared" si="25"/>
        <v>1</v>
      </c>
      <c r="BJ37" s="2339">
        <v>6</v>
      </c>
      <c r="BK37" s="2373">
        <v>1</v>
      </c>
      <c r="BL37" s="2373">
        <v>1</v>
      </c>
      <c r="BM37" s="2374">
        <v>1</v>
      </c>
      <c r="BN37" s="2375"/>
      <c r="BO37" s="2378"/>
      <c r="BP37" s="2376" t="s">
        <v>2501</v>
      </c>
      <c r="BQ37" s="2376"/>
    </row>
    <row r="38" spans="1:69" s="49" customFormat="1" ht="90" customHeight="1" thickBot="1">
      <c r="A38" s="2655"/>
      <c r="B38" s="2655"/>
      <c r="C38" s="2656" t="s">
        <v>1204</v>
      </c>
      <c r="D38" s="1661" t="s">
        <v>2126</v>
      </c>
      <c r="E38" s="77" t="s">
        <v>72</v>
      </c>
      <c r="F38" s="77">
        <v>1</v>
      </c>
      <c r="G38" s="65" t="s">
        <v>1198</v>
      </c>
      <c r="H38" s="65" t="s">
        <v>1205</v>
      </c>
      <c r="I38" s="251">
        <v>0.2</v>
      </c>
      <c r="J38" s="65" t="s">
        <v>1199</v>
      </c>
      <c r="K38" s="67">
        <v>42005</v>
      </c>
      <c r="L38" s="67">
        <v>42369</v>
      </c>
      <c r="M38" s="301"/>
      <c r="N38" s="280"/>
      <c r="O38" s="280"/>
      <c r="P38" s="280"/>
      <c r="Q38" s="280"/>
      <c r="R38" s="280"/>
      <c r="S38" s="280">
        <v>1</v>
      </c>
      <c r="T38" s="281"/>
      <c r="U38" s="282"/>
      <c r="V38" s="115"/>
      <c r="W38" s="115"/>
      <c r="X38" s="302"/>
      <c r="Y38" s="276">
        <v>1</v>
      </c>
      <c r="Z38" s="75">
        <v>0</v>
      </c>
      <c r="AA38" s="209" t="s">
        <v>1090</v>
      </c>
      <c r="AB38" s="1292">
        <f t="shared" si="21"/>
        <v>0</v>
      </c>
      <c r="AC38" s="1311">
        <f t="shared" si="22"/>
        <v>0</v>
      </c>
      <c r="AD38" s="1509">
        <v>0</v>
      </c>
      <c r="AE38" s="1311" t="s">
        <v>1090</v>
      </c>
      <c r="AF38" s="1311">
        <f aca="true" t="shared" si="31" ref="AF38">AD38/Y38</f>
        <v>0</v>
      </c>
      <c r="AG38" s="1311">
        <f t="shared" si="27"/>
        <v>0</v>
      </c>
      <c r="AH38" s="99"/>
      <c r="AI38" s="98"/>
      <c r="AJ38" s="99"/>
      <c r="AK38" s="98"/>
      <c r="AL38" s="98"/>
      <c r="AM38" s="1692">
        <f t="shared" si="28"/>
        <v>0</v>
      </c>
      <c r="AN38" s="1699">
        <f t="shared" si="23"/>
        <v>0</v>
      </c>
      <c r="AO38" s="1697">
        <v>0</v>
      </c>
      <c r="AP38" s="1699" t="s">
        <v>1090</v>
      </c>
      <c r="AQ38" s="1699">
        <f t="shared" si="29"/>
        <v>0</v>
      </c>
      <c r="AR38" s="1699">
        <v>0</v>
      </c>
      <c r="AS38" s="1748">
        <v>0</v>
      </c>
      <c r="AT38" s="1689"/>
      <c r="AU38" s="1691"/>
      <c r="AV38" s="1691"/>
      <c r="AW38" s="2080">
        <f t="shared" si="12"/>
        <v>1</v>
      </c>
      <c r="AX38" s="2084">
        <f>SUM(Q38:R38)</f>
        <v>0</v>
      </c>
      <c r="AY38" s="2085">
        <f t="shared" si="24"/>
        <v>0</v>
      </c>
      <c r="AZ38" s="2084">
        <v>1</v>
      </c>
      <c r="BA38" s="2085">
        <v>1</v>
      </c>
      <c r="BB38" s="2085">
        <f>AZ38/Y38</f>
        <v>1</v>
      </c>
      <c r="BC38" s="2086">
        <f aca="true" t="shared" si="32" ref="BC38:BC48">AW38/Y38</f>
        <v>1</v>
      </c>
      <c r="BD38" s="2306">
        <v>0</v>
      </c>
      <c r="BE38" s="625" t="s">
        <v>1090</v>
      </c>
      <c r="BF38" s="1988" t="s">
        <v>2502</v>
      </c>
      <c r="BG38" s="1988" t="s">
        <v>2503</v>
      </c>
      <c r="BH38" s="2339">
        <f t="shared" si="30"/>
        <v>1</v>
      </c>
      <c r="BI38" s="2373">
        <f t="shared" si="25"/>
        <v>1</v>
      </c>
      <c r="BJ38" s="2339">
        <v>0</v>
      </c>
      <c r="BK38" s="2373">
        <v>0</v>
      </c>
      <c r="BL38" s="2373">
        <v>0</v>
      </c>
      <c r="BM38" s="2374">
        <v>0</v>
      </c>
      <c r="BN38" s="2375"/>
      <c r="BO38" s="2378"/>
      <c r="BP38" s="2376" t="s">
        <v>2957</v>
      </c>
      <c r="BQ38" s="2376"/>
    </row>
    <row r="39" spans="1:69" s="49" customFormat="1" ht="90" customHeight="1" thickBot="1">
      <c r="A39" s="2655"/>
      <c r="B39" s="2655"/>
      <c r="C39" s="2657"/>
      <c r="D39" s="1670" t="s">
        <v>2127</v>
      </c>
      <c r="E39" s="77" t="s">
        <v>2128</v>
      </c>
      <c r="F39" s="77">
        <v>1</v>
      </c>
      <c r="G39" s="65" t="s">
        <v>2129</v>
      </c>
      <c r="H39" s="65" t="s">
        <v>2130</v>
      </c>
      <c r="I39" s="251">
        <v>0.2</v>
      </c>
      <c r="J39" s="65" t="s">
        <v>2131</v>
      </c>
      <c r="K39" s="67">
        <v>42186</v>
      </c>
      <c r="L39" s="67">
        <v>42369</v>
      </c>
      <c r="M39" s="301"/>
      <c r="N39" s="280"/>
      <c r="O39" s="280"/>
      <c r="P39" s="280"/>
      <c r="Q39" s="280"/>
      <c r="R39" s="280"/>
      <c r="S39" s="280"/>
      <c r="T39" s="281"/>
      <c r="U39" s="282"/>
      <c r="V39" s="115"/>
      <c r="W39" s="115"/>
      <c r="X39" s="302">
        <v>1</v>
      </c>
      <c r="Y39" s="276">
        <v>1</v>
      </c>
      <c r="Z39" s="75">
        <v>100000000</v>
      </c>
      <c r="AA39" s="610"/>
      <c r="AB39" s="1292"/>
      <c r="AC39" s="1311"/>
      <c r="AD39" s="1509"/>
      <c r="AE39" s="1311"/>
      <c r="AF39" s="1311"/>
      <c r="AG39" s="1311"/>
      <c r="AH39" s="1371"/>
      <c r="AI39" s="1378"/>
      <c r="AJ39" s="1371"/>
      <c r="AK39" s="1378"/>
      <c r="AL39" s="1378"/>
      <c r="AM39" s="1692">
        <f t="shared" si="28"/>
        <v>0</v>
      </c>
      <c r="AN39" s="1699">
        <f t="shared" si="23"/>
        <v>0</v>
      </c>
      <c r="AO39" s="1697">
        <v>0</v>
      </c>
      <c r="AP39" s="1699" t="s">
        <v>1090</v>
      </c>
      <c r="AQ39" s="1699">
        <f t="shared" si="29"/>
        <v>0</v>
      </c>
      <c r="AR39" s="1699">
        <v>0</v>
      </c>
      <c r="AS39" s="1748">
        <v>0</v>
      </c>
      <c r="AT39" s="1689"/>
      <c r="AU39" s="1691"/>
      <c r="AV39" s="1691"/>
      <c r="AW39" s="2080" t="s">
        <v>1090</v>
      </c>
      <c r="AX39" s="2084">
        <f>SUM(Q39:R39)</f>
        <v>0</v>
      </c>
      <c r="AY39" s="2085">
        <f t="shared" si="24"/>
        <v>0</v>
      </c>
      <c r="AZ39" s="2084" t="s">
        <v>1090</v>
      </c>
      <c r="BA39" s="2085" t="s">
        <v>1090</v>
      </c>
      <c r="BB39" s="2085">
        <v>0</v>
      </c>
      <c r="BC39" s="2086">
        <v>0</v>
      </c>
      <c r="BD39" s="2306">
        <v>0</v>
      </c>
      <c r="BE39" s="625" t="s">
        <v>1090</v>
      </c>
      <c r="BF39" s="1988" t="s">
        <v>1090</v>
      </c>
      <c r="BG39" s="1988" t="s">
        <v>2176</v>
      </c>
      <c r="BH39" s="2339">
        <f t="shared" si="30"/>
        <v>0</v>
      </c>
      <c r="BI39" s="2373">
        <f t="shared" si="25"/>
        <v>0</v>
      </c>
      <c r="BJ39" s="2339">
        <v>0</v>
      </c>
      <c r="BK39" s="2373" t="s">
        <v>1090</v>
      </c>
      <c r="BL39" s="2373">
        <v>0</v>
      </c>
      <c r="BM39" s="2374">
        <v>0</v>
      </c>
      <c r="BN39" s="2375"/>
      <c r="BO39" s="2378"/>
      <c r="BP39" s="2376" t="s">
        <v>2176</v>
      </c>
      <c r="BQ39" s="2376"/>
    </row>
    <row r="40" spans="1:69" s="49" customFormat="1" ht="50.25" thickBot="1">
      <c r="A40" s="2659"/>
      <c r="B40" s="2659"/>
      <c r="C40" s="2664"/>
      <c r="D40" s="385" t="s">
        <v>2132</v>
      </c>
      <c r="E40" s="77" t="s">
        <v>1206</v>
      </c>
      <c r="F40" s="77" t="s">
        <v>100</v>
      </c>
      <c r="G40" s="65" t="s">
        <v>1160</v>
      </c>
      <c r="H40" s="65" t="s">
        <v>2133</v>
      </c>
      <c r="I40" s="251">
        <v>0.2</v>
      </c>
      <c r="J40" s="65" t="s">
        <v>1207</v>
      </c>
      <c r="K40" s="67">
        <v>42005</v>
      </c>
      <c r="L40" s="67">
        <v>42369</v>
      </c>
      <c r="M40" s="301"/>
      <c r="N40" s="280"/>
      <c r="O40" s="280"/>
      <c r="P40" s="280"/>
      <c r="Q40" s="280"/>
      <c r="R40" s="280"/>
      <c r="S40" s="280"/>
      <c r="T40" s="281"/>
      <c r="U40" s="282"/>
      <c r="V40" s="115"/>
      <c r="W40" s="115"/>
      <c r="X40" s="302"/>
      <c r="Y40" s="276" t="s">
        <v>100</v>
      </c>
      <c r="Z40" s="75"/>
      <c r="AA40" s="209" t="s">
        <v>1090</v>
      </c>
      <c r="AB40" s="1292">
        <f t="shared" si="21"/>
        <v>0</v>
      </c>
      <c r="AC40" s="1311">
        <f t="shared" si="22"/>
        <v>0</v>
      </c>
      <c r="AD40" s="1509">
        <v>0</v>
      </c>
      <c r="AE40" s="1311" t="s">
        <v>1090</v>
      </c>
      <c r="AF40" s="1311" t="s">
        <v>1090</v>
      </c>
      <c r="AG40" s="1311" t="str">
        <f t="shared" si="27"/>
        <v>-</v>
      </c>
      <c r="AH40" s="99"/>
      <c r="AI40" s="98"/>
      <c r="AJ40" s="99"/>
      <c r="AK40" s="98"/>
      <c r="AL40" s="98"/>
      <c r="AM40" s="1692">
        <f t="shared" si="28"/>
        <v>0</v>
      </c>
      <c r="AN40" s="1699">
        <f t="shared" si="23"/>
        <v>0</v>
      </c>
      <c r="AO40" s="1697">
        <v>0</v>
      </c>
      <c r="AP40" s="1699" t="s">
        <v>1090</v>
      </c>
      <c r="AQ40" s="1699" t="s">
        <v>1090</v>
      </c>
      <c r="AR40" s="1699" t="str">
        <f t="shared" si="26"/>
        <v>-</v>
      </c>
      <c r="AS40" s="1748">
        <v>0</v>
      </c>
      <c r="AT40" s="1689"/>
      <c r="AU40" s="1691" t="s">
        <v>2176</v>
      </c>
      <c r="AV40" s="1691"/>
      <c r="AW40" s="2080" t="s">
        <v>1090</v>
      </c>
      <c r="AX40" s="2084">
        <f>SUM(Q40:R40)</f>
        <v>0</v>
      </c>
      <c r="AY40" s="2085">
        <f t="shared" si="24"/>
        <v>0</v>
      </c>
      <c r="AZ40" s="2084" t="s">
        <v>1090</v>
      </c>
      <c r="BA40" s="2085" t="s">
        <v>1090</v>
      </c>
      <c r="BB40" s="2085" t="s">
        <v>1090</v>
      </c>
      <c r="BC40" s="2086" t="s">
        <v>1090</v>
      </c>
      <c r="BD40" s="2306">
        <v>0</v>
      </c>
      <c r="BE40" s="625" t="s">
        <v>1090</v>
      </c>
      <c r="BF40" s="1988" t="s">
        <v>1090</v>
      </c>
      <c r="BG40" s="1988" t="s">
        <v>2176</v>
      </c>
      <c r="BH40" s="2339">
        <f t="shared" si="30"/>
        <v>0</v>
      </c>
      <c r="BI40" s="2373">
        <f t="shared" si="25"/>
        <v>0</v>
      </c>
      <c r="BJ40" s="2339">
        <v>0</v>
      </c>
      <c r="BK40" s="2373" t="s">
        <v>1090</v>
      </c>
      <c r="BL40" s="2373" t="s">
        <v>1090</v>
      </c>
      <c r="BM40" s="2374" t="s">
        <v>1090</v>
      </c>
      <c r="BN40" s="2375"/>
      <c r="BO40" s="2378"/>
      <c r="BP40" s="2376" t="s">
        <v>2176</v>
      </c>
      <c r="BQ40" s="2376"/>
    </row>
    <row r="41" spans="1:69" s="34" customFormat="1" ht="20.1" customHeight="1" thickBot="1">
      <c r="A41" s="2652" t="s">
        <v>130</v>
      </c>
      <c r="B41" s="2653"/>
      <c r="C41" s="2653"/>
      <c r="D41" s="2654"/>
      <c r="E41" s="469"/>
      <c r="F41" s="470"/>
      <c r="G41" s="470"/>
      <c r="H41" s="470"/>
      <c r="I41" s="86">
        <f>SUM(I36:I40)</f>
        <v>1</v>
      </c>
      <c r="J41" s="470"/>
      <c r="K41" s="470"/>
      <c r="L41" s="470"/>
      <c r="M41" s="470"/>
      <c r="N41" s="470"/>
      <c r="O41" s="470"/>
      <c r="P41" s="470"/>
      <c r="Q41" s="470"/>
      <c r="R41" s="470"/>
      <c r="S41" s="470"/>
      <c r="T41" s="470"/>
      <c r="U41" s="470"/>
      <c r="V41" s="470"/>
      <c r="W41" s="470"/>
      <c r="X41" s="87"/>
      <c r="Y41" s="87"/>
      <c r="Z41" s="88">
        <f>SUM(Z36:Z40)</f>
        <v>5230000000</v>
      </c>
      <c r="AA41" s="471"/>
      <c r="AB41" s="1503"/>
      <c r="AC41" s="1504" t="s">
        <v>1090</v>
      </c>
      <c r="AD41" s="1511"/>
      <c r="AE41" s="1494" t="s">
        <v>1090</v>
      </c>
      <c r="AF41" s="1494"/>
      <c r="AG41" s="1494">
        <f>AVERAGE(AG36:AG40)</f>
        <v>0</v>
      </c>
      <c r="AH41" s="91"/>
      <c r="AI41" s="91"/>
      <c r="AJ41" s="91"/>
      <c r="AK41" s="91"/>
      <c r="AL41" s="91"/>
      <c r="AM41" s="1851"/>
      <c r="AN41" s="1851">
        <v>1</v>
      </c>
      <c r="AO41" s="1851"/>
      <c r="AP41" s="1851" t="s">
        <v>1090</v>
      </c>
      <c r="AQ41" s="1851"/>
      <c r="AR41" s="1851">
        <f>AVERAGE(AR37:AR40)</f>
        <v>0</v>
      </c>
      <c r="AS41" s="1851"/>
      <c r="AT41" s="1851"/>
      <c r="AU41" s="1851"/>
      <c r="AV41" s="1850"/>
      <c r="AW41" s="2080">
        <f t="shared" si="12"/>
        <v>0</v>
      </c>
      <c r="AX41" s="636"/>
      <c r="AY41" s="1721">
        <v>1</v>
      </c>
      <c r="AZ41" s="636"/>
      <c r="BA41" s="1261">
        <f>AVERAGE(BA36:BA40)</f>
        <v>1</v>
      </c>
      <c r="BB41" s="636"/>
      <c r="BC41" s="1722">
        <f>AVERAGE(BC36:BC40)</f>
        <v>0.6666666666666666</v>
      </c>
      <c r="BD41" s="636"/>
      <c r="BE41" s="636"/>
      <c r="BF41" s="1325"/>
      <c r="BG41" s="1325"/>
      <c r="BH41" s="636"/>
      <c r="BI41" s="1721">
        <v>1</v>
      </c>
      <c r="BJ41" s="636"/>
      <c r="BK41" s="1261">
        <f>AVERAGE(BK36:BK40)</f>
        <v>0.5</v>
      </c>
      <c r="BL41" s="636"/>
      <c r="BM41" s="1722">
        <f>AVERAGE(BM36:BM40)</f>
        <v>0.3333333333333333</v>
      </c>
      <c r="BN41" s="636"/>
      <c r="BO41" s="636"/>
      <c r="BP41" s="1325"/>
      <c r="BQ41" s="1325"/>
    </row>
    <row r="42" spans="1:69" s="49" customFormat="1" ht="50.25" thickBot="1">
      <c r="A42" s="1656">
        <v>3</v>
      </c>
      <c r="B42" s="1656" t="s">
        <v>1208</v>
      </c>
      <c r="C42" s="1659" t="s">
        <v>1209</v>
      </c>
      <c r="D42" s="1671" t="s">
        <v>2134</v>
      </c>
      <c r="E42" s="65" t="s">
        <v>2135</v>
      </c>
      <c r="F42" s="65">
        <v>1</v>
      </c>
      <c r="G42" s="65" t="s">
        <v>2136</v>
      </c>
      <c r="H42" s="65" t="s">
        <v>2137</v>
      </c>
      <c r="I42" s="251">
        <v>1</v>
      </c>
      <c r="J42" s="65" t="s">
        <v>2138</v>
      </c>
      <c r="K42" s="67">
        <v>42156</v>
      </c>
      <c r="L42" s="67">
        <v>42368</v>
      </c>
      <c r="M42" s="114"/>
      <c r="N42" s="114"/>
      <c r="O42" s="114"/>
      <c r="P42" s="114"/>
      <c r="Q42" s="114"/>
      <c r="R42" s="115"/>
      <c r="S42" s="115"/>
      <c r="T42" s="114"/>
      <c r="U42" s="115"/>
      <c r="V42" s="115"/>
      <c r="W42" s="115"/>
      <c r="X42" s="115">
        <v>1</v>
      </c>
      <c r="Y42" s="121">
        <v>1</v>
      </c>
      <c r="Z42" s="75">
        <v>547000000</v>
      </c>
      <c r="AA42" s="209" t="s">
        <v>1090</v>
      </c>
      <c r="AB42" s="1292">
        <f t="shared" si="21"/>
        <v>0</v>
      </c>
      <c r="AC42" s="1311">
        <f t="shared" si="22"/>
        <v>0</v>
      </c>
      <c r="AD42" s="1509">
        <v>0</v>
      </c>
      <c r="AE42" s="1311" t="s">
        <v>1090</v>
      </c>
      <c r="AF42" s="1311">
        <f>AD42/Y42</f>
        <v>0</v>
      </c>
      <c r="AG42" s="1311">
        <f>AF42</f>
        <v>0</v>
      </c>
      <c r="AH42" s="1371"/>
      <c r="AI42" s="98"/>
      <c r="AJ42" s="99"/>
      <c r="AK42" s="98"/>
      <c r="AL42" s="98"/>
      <c r="AM42" s="1692">
        <f>SUM(M42:P42)</f>
        <v>0</v>
      </c>
      <c r="AN42" s="1699">
        <f t="shared" si="23"/>
        <v>0</v>
      </c>
      <c r="AO42" s="1694">
        <v>0</v>
      </c>
      <c r="AP42" s="1699" t="s">
        <v>1090</v>
      </c>
      <c r="AQ42" s="1699">
        <f>AO42/Y42</f>
        <v>0</v>
      </c>
      <c r="AR42" s="1699">
        <v>0</v>
      </c>
      <c r="AS42" s="1748">
        <v>0</v>
      </c>
      <c r="AT42" s="1689"/>
      <c r="AU42" s="1691" t="s">
        <v>2177</v>
      </c>
      <c r="AV42" s="1691" t="s">
        <v>2178</v>
      </c>
      <c r="AW42" s="2080" t="s">
        <v>1090</v>
      </c>
      <c r="AX42" s="2084">
        <f>SUM(Q42:R42)</f>
        <v>0</v>
      </c>
      <c r="AY42" s="2085">
        <f t="shared" si="24"/>
        <v>0</v>
      </c>
      <c r="AZ42" s="2084" t="s">
        <v>1090</v>
      </c>
      <c r="BA42" s="2085" t="s">
        <v>1090</v>
      </c>
      <c r="BB42" s="2085">
        <v>0</v>
      </c>
      <c r="BC42" s="2086">
        <v>0</v>
      </c>
      <c r="BD42" s="2306">
        <v>0</v>
      </c>
      <c r="BE42" s="625" t="s">
        <v>1090</v>
      </c>
      <c r="BF42" s="1988" t="s">
        <v>1090</v>
      </c>
      <c r="BG42" s="1988" t="s">
        <v>2504</v>
      </c>
      <c r="BH42" s="2339">
        <f>SUM(M42:T42)</f>
        <v>0</v>
      </c>
      <c r="BI42" s="2373">
        <f t="shared" si="25"/>
        <v>0</v>
      </c>
      <c r="BJ42" s="2339">
        <v>0</v>
      </c>
      <c r="BK42" s="2373" t="s">
        <v>1090</v>
      </c>
      <c r="BL42" s="2373">
        <v>0</v>
      </c>
      <c r="BM42" s="2374">
        <v>0</v>
      </c>
      <c r="BN42" s="2375"/>
      <c r="BO42" s="2378"/>
      <c r="BP42" s="2376" t="s">
        <v>2958</v>
      </c>
      <c r="BQ42" s="2376"/>
    </row>
    <row r="43" spans="1:69" s="34" customFormat="1" ht="20.1" customHeight="1" thickBot="1">
      <c r="A43" s="2652" t="s">
        <v>130</v>
      </c>
      <c r="B43" s="2653"/>
      <c r="C43" s="2653"/>
      <c r="D43" s="2654"/>
      <c r="E43" s="470"/>
      <c r="F43" s="470"/>
      <c r="G43" s="470"/>
      <c r="H43" s="470"/>
      <c r="I43" s="86">
        <f>SUM(I42:I42)</f>
        <v>1</v>
      </c>
      <c r="J43" s="470"/>
      <c r="K43" s="470"/>
      <c r="L43" s="470"/>
      <c r="M43" s="470"/>
      <c r="N43" s="470"/>
      <c r="O43" s="470"/>
      <c r="P43" s="470"/>
      <c r="Q43" s="470"/>
      <c r="R43" s="470"/>
      <c r="S43" s="470"/>
      <c r="T43" s="470"/>
      <c r="U43" s="470"/>
      <c r="V43" s="470"/>
      <c r="W43" s="470"/>
      <c r="X43" s="87"/>
      <c r="Y43" s="87"/>
      <c r="Z43" s="88">
        <f>SUM(Z42:Z42)</f>
        <v>547000000</v>
      </c>
      <c r="AA43" s="471"/>
      <c r="AB43" s="1500"/>
      <c r="AC43" s="1501" t="s">
        <v>1090</v>
      </c>
      <c r="AD43" s="1515"/>
      <c r="AE43" s="1501" t="s">
        <v>1090</v>
      </c>
      <c r="AF43" s="1501"/>
      <c r="AG43" s="1501">
        <f>AVERAGE(AG42:AG42)</f>
        <v>0</v>
      </c>
      <c r="AH43" s="1502"/>
      <c r="AI43" s="130"/>
      <c r="AJ43" s="130"/>
      <c r="AK43" s="130"/>
      <c r="AL43" s="130"/>
      <c r="AM43" s="1855"/>
      <c r="AN43" s="1855">
        <v>1</v>
      </c>
      <c r="AO43" s="1855"/>
      <c r="AP43" s="1855" t="s">
        <v>1090</v>
      </c>
      <c r="AQ43" s="1855"/>
      <c r="AR43" s="1855">
        <v>0</v>
      </c>
      <c r="AS43" s="1855"/>
      <c r="AT43" s="1855"/>
      <c r="AU43" s="1855"/>
      <c r="AV43" s="1853"/>
      <c r="AW43" s="2080">
        <f t="shared" si="12"/>
        <v>0</v>
      </c>
      <c r="AX43" s="708"/>
      <c r="AY43" s="2193">
        <v>1</v>
      </c>
      <c r="AZ43" s="708"/>
      <c r="BA43" s="708" t="s">
        <v>1090</v>
      </c>
      <c r="BB43" s="708"/>
      <c r="BC43" s="1722">
        <f>AVERAGE(BC42)</f>
        <v>0</v>
      </c>
      <c r="BD43" s="708"/>
      <c r="BE43" s="708"/>
      <c r="BF43" s="131"/>
      <c r="BG43" s="131"/>
      <c r="BH43" s="708"/>
      <c r="BI43" s="2193">
        <v>1</v>
      </c>
      <c r="BJ43" s="708"/>
      <c r="BK43" s="708" t="s">
        <v>1090</v>
      </c>
      <c r="BL43" s="708"/>
      <c r="BM43" s="1722">
        <v>0</v>
      </c>
      <c r="BN43" s="708"/>
      <c r="BO43" s="708"/>
      <c r="BP43" s="131"/>
      <c r="BQ43" s="131"/>
    </row>
    <row r="44" spans="1:69" s="49" customFormat="1" ht="51.75" customHeight="1" thickBot="1">
      <c r="A44" s="2658">
        <v>4</v>
      </c>
      <c r="B44" s="2658" t="s">
        <v>814</v>
      </c>
      <c r="C44" s="2665" t="s">
        <v>815</v>
      </c>
      <c r="D44" s="1672" t="s">
        <v>2140</v>
      </c>
      <c r="E44" s="1673" t="s">
        <v>72</v>
      </c>
      <c r="F44" s="64">
        <v>1</v>
      </c>
      <c r="G44" s="1674" t="s">
        <v>2141</v>
      </c>
      <c r="H44" s="65" t="s">
        <v>1210</v>
      </c>
      <c r="I44" s="251">
        <v>0.143</v>
      </c>
      <c r="J44" s="65" t="s">
        <v>2142</v>
      </c>
      <c r="K44" s="67">
        <v>42005</v>
      </c>
      <c r="L44" s="68">
        <v>42369</v>
      </c>
      <c r="M44" s="69"/>
      <c r="N44" s="70"/>
      <c r="O44" s="70"/>
      <c r="P44" s="70"/>
      <c r="Q44" s="70"/>
      <c r="R44" s="70"/>
      <c r="S44" s="70"/>
      <c r="T44" s="71"/>
      <c r="U44" s="72"/>
      <c r="V44" s="73">
        <v>1</v>
      </c>
      <c r="W44" s="73"/>
      <c r="X44" s="73"/>
      <c r="Y44" s="74">
        <v>1</v>
      </c>
      <c r="Z44" s="46">
        <v>0</v>
      </c>
      <c r="AA44" s="209" t="s">
        <v>1090</v>
      </c>
      <c r="AB44" s="1292">
        <f t="shared" si="21"/>
        <v>0</v>
      </c>
      <c r="AC44" s="1311">
        <f t="shared" si="22"/>
        <v>0</v>
      </c>
      <c r="AD44" s="1509">
        <v>0</v>
      </c>
      <c r="AE44" s="1311" t="s">
        <v>1090</v>
      </c>
      <c r="AF44" s="1311" t="s">
        <v>1090</v>
      </c>
      <c r="AG44" s="1311" t="str">
        <f>AF44</f>
        <v>-</v>
      </c>
      <c r="AH44" s="99"/>
      <c r="AI44" s="98"/>
      <c r="AJ44" s="99"/>
      <c r="AK44" s="98"/>
      <c r="AL44" s="98"/>
      <c r="AM44" s="1692">
        <f>SUM(M44:P44)</f>
        <v>0</v>
      </c>
      <c r="AN44" s="1699">
        <f t="shared" si="23"/>
        <v>0</v>
      </c>
      <c r="AO44" s="1697">
        <v>0</v>
      </c>
      <c r="AP44" s="1699" t="s">
        <v>1090</v>
      </c>
      <c r="AQ44" s="1699">
        <f>AO44/Y44</f>
        <v>0</v>
      </c>
      <c r="AR44" s="1699">
        <v>0</v>
      </c>
      <c r="AS44" s="1748">
        <v>0</v>
      </c>
      <c r="AT44" s="1689"/>
      <c r="AU44" s="1691" t="s">
        <v>2179</v>
      </c>
      <c r="AV44" s="1691"/>
      <c r="AW44" s="2080" t="s">
        <v>1090</v>
      </c>
      <c r="AX44" s="2084">
        <f aca="true" t="shared" si="33" ref="AX44:AX50">SUM(Q44:R44)</f>
        <v>0</v>
      </c>
      <c r="AY44" s="2085">
        <f t="shared" si="24"/>
        <v>0</v>
      </c>
      <c r="AZ44" s="2084" t="s">
        <v>1090</v>
      </c>
      <c r="BA44" s="2085" t="s">
        <v>1090</v>
      </c>
      <c r="BB44" s="2085">
        <v>0</v>
      </c>
      <c r="BC44" s="2086">
        <v>0</v>
      </c>
      <c r="BD44" s="2306">
        <v>0</v>
      </c>
      <c r="BE44" s="625" t="s">
        <v>1090</v>
      </c>
      <c r="BF44" s="1988" t="s">
        <v>2179</v>
      </c>
      <c r="BG44" s="1988" t="s">
        <v>1090</v>
      </c>
      <c r="BH44" s="2339">
        <f>SUM(M44:T44)</f>
        <v>0</v>
      </c>
      <c r="BI44" s="2373">
        <f t="shared" si="25"/>
        <v>0</v>
      </c>
      <c r="BJ44" s="2339">
        <v>1</v>
      </c>
      <c r="BK44" s="2373">
        <v>1</v>
      </c>
      <c r="BL44" s="2373">
        <v>1</v>
      </c>
      <c r="BM44" s="2374">
        <v>1</v>
      </c>
      <c r="BN44" s="2375"/>
      <c r="BO44" s="2378"/>
      <c r="BP44" s="2376" t="s">
        <v>2959</v>
      </c>
      <c r="BQ44" s="2376" t="s">
        <v>1090</v>
      </c>
    </row>
    <row r="45" spans="1:69" s="49" customFormat="1" ht="64.5" customHeight="1" thickBot="1">
      <c r="A45" s="2655"/>
      <c r="B45" s="2655"/>
      <c r="C45" s="2666"/>
      <c r="D45" s="1675" t="s">
        <v>2143</v>
      </c>
      <c r="E45" s="77" t="s">
        <v>1211</v>
      </c>
      <c r="F45" s="77">
        <v>5</v>
      </c>
      <c r="G45" s="77" t="s">
        <v>1212</v>
      </c>
      <c r="H45" s="65" t="s">
        <v>1210</v>
      </c>
      <c r="I45" s="251">
        <v>0.143</v>
      </c>
      <c r="J45" s="65" t="s">
        <v>1199</v>
      </c>
      <c r="K45" s="67">
        <v>42262</v>
      </c>
      <c r="L45" s="67">
        <v>42139</v>
      </c>
      <c r="M45" s="280">
        <v>1</v>
      </c>
      <c r="N45" s="280">
        <v>1</v>
      </c>
      <c r="O45" s="280">
        <v>1</v>
      </c>
      <c r="P45" s="280">
        <v>1</v>
      </c>
      <c r="Q45" s="280"/>
      <c r="R45" s="280"/>
      <c r="S45" s="280">
        <v>1</v>
      </c>
      <c r="T45" s="281"/>
      <c r="U45" s="282"/>
      <c r="V45" s="115"/>
      <c r="W45" s="115"/>
      <c r="X45" s="302"/>
      <c r="Y45" s="276">
        <f>SUM(M45:X45)</f>
        <v>5</v>
      </c>
      <c r="Z45" s="75">
        <v>0</v>
      </c>
      <c r="AA45" s="209" t="s">
        <v>1090</v>
      </c>
      <c r="AB45" s="1292">
        <f t="shared" si="21"/>
        <v>2</v>
      </c>
      <c r="AC45" s="1311">
        <f t="shared" si="22"/>
        <v>1</v>
      </c>
      <c r="AD45" s="1509">
        <v>2</v>
      </c>
      <c r="AE45" s="1311">
        <f aca="true" t="shared" si="34" ref="AE45">AD45/AB45</f>
        <v>1</v>
      </c>
      <c r="AF45" s="1311">
        <f aca="true" t="shared" si="35" ref="AF45:AF49">AD45/Y45</f>
        <v>0.4</v>
      </c>
      <c r="AG45" s="1311">
        <f aca="true" t="shared" si="36" ref="AG45:AG50">AF45</f>
        <v>0.4</v>
      </c>
      <c r="AH45" s="99">
        <v>1</v>
      </c>
      <c r="AI45" s="1370" t="s">
        <v>1976</v>
      </c>
      <c r="AJ45" s="1371" t="s">
        <v>1977</v>
      </c>
      <c r="AK45" s="1372" t="s">
        <v>1978</v>
      </c>
      <c r="AL45" s="1373" t="s">
        <v>1979</v>
      </c>
      <c r="AM45" s="1692">
        <f aca="true" t="shared" si="37" ref="AM45:AM50">SUM(M45:P45)</f>
        <v>4</v>
      </c>
      <c r="AN45" s="1699">
        <f t="shared" si="23"/>
        <v>1</v>
      </c>
      <c r="AO45" s="1697">
        <v>2</v>
      </c>
      <c r="AP45" s="1699">
        <f aca="true" t="shared" si="38" ref="AP45:AP48">AO45/AM45</f>
        <v>0.5</v>
      </c>
      <c r="AQ45" s="1699">
        <f aca="true" t="shared" si="39" ref="AQ45:AQ48">AO45/Y45</f>
        <v>0.4</v>
      </c>
      <c r="AR45" s="1699">
        <f aca="true" t="shared" si="40" ref="AR45:AR50">IF(AN45&gt;0,AP45,"-")</f>
        <v>0.5</v>
      </c>
      <c r="AS45" s="1748">
        <v>0</v>
      </c>
      <c r="AT45" s="1689"/>
      <c r="AU45" s="1691" t="s">
        <v>2180</v>
      </c>
      <c r="AV45" s="1691"/>
      <c r="AW45" s="2080">
        <f t="shared" si="12"/>
        <v>5</v>
      </c>
      <c r="AX45" s="2084">
        <f t="shared" si="33"/>
        <v>0</v>
      </c>
      <c r="AY45" s="2085">
        <f t="shared" si="24"/>
        <v>0</v>
      </c>
      <c r="AZ45" s="2084">
        <v>1</v>
      </c>
      <c r="BA45" s="2085">
        <v>1</v>
      </c>
      <c r="BB45" s="2085">
        <f>AZ45/Y45</f>
        <v>0.2</v>
      </c>
      <c r="BC45" s="2086">
        <f t="shared" si="32"/>
        <v>1</v>
      </c>
      <c r="BD45" s="2306">
        <v>0</v>
      </c>
      <c r="BE45" s="625" t="s">
        <v>1090</v>
      </c>
      <c r="BF45" s="1988" t="s">
        <v>2505</v>
      </c>
      <c r="BG45" s="1988" t="s">
        <v>1090</v>
      </c>
      <c r="BH45" s="2339">
        <f aca="true" t="shared" si="41" ref="BH45:BH50">SUM(M45:T45)</f>
        <v>5</v>
      </c>
      <c r="BI45" s="2373">
        <f t="shared" si="25"/>
        <v>1</v>
      </c>
      <c r="BJ45" s="2339">
        <v>5</v>
      </c>
      <c r="BK45" s="2373">
        <v>1</v>
      </c>
      <c r="BL45" s="2373">
        <v>1</v>
      </c>
      <c r="BM45" s="2374">
        <v>1</v>
      </c>
      <c r="BN45" s="2375"/>
      <c r="BO45" s="2378"/>
      <c r="BP45" s="2376" t="s">
        <v>2960</v>
      </c>
      <c r="BQ45" s="2376" t="s">
        <v>1090</v>
      </c>
    </row>
    <row r="46" spans="1:69" s="49" customFormat="1" ht="50.25" thickBot="1">
      <c r="A46" s="2655"/>
      <c r="B46" s="2655"/>
      <c r="C46" s="2666"/>
      <c r="D46" s="1676" t="s">
        <v>2144</v>
      </c>
      <c r="E46" s="1677" t="s">
        <v>2145</v>
      </c>
      <c r="F46" s="64">
        <v>1</v>
      </c>
      <c r="G46" s="1678" t="s">
        <v>2146</v>
      </c>
      <c r="H46" s="65" t="s">
        <v>1210</v>
      </c>
      <c r="I46" s="251">
        <v>0.143</v>
      </c>
      <c r="J46" s="1678" t="s">
        <v>2147</v>
      </c>
      <c r="K46" s="67">
        <v>42005</v>
      </c>
      <c r="L46" s="117">
        <v>42369</v>
      </c>
      <c r="M46" s="541"/>
      <c r="N46" s="542"/>
      <c r="O46" s="542"/>
      <c r="P46" s="542"/>
      <c r="Q46" s="542"/>
      <c r="R46" s="542"/>
      <c r="S46" s="542"/>
      <c r="T46" s="543"/>
      <c r="U46" s="544"/>
      <c r="V46" s="123"/>
      <c r="W46" s="123"/>
      <c r="X46" s="123">
        <v>1</v>
      </c>
      <c r="Y46" s="545">
        <v>1</v>
      </c>
      <c r="Z46" s="488">
        <v>1500000000</v>
      </c>
      <c r="AA46" s="209" t="s">
        <v>1090</v>
      </c>
      <c r="AB46" s="1292">
        <f t="shared" si="21"/>
        <v>0</v>
      </c>
      <c r="AC46" s="1311">
        <f t="shared" si="22"/>
        <v>0</v>
      </c>
      <c r="AD46" s="1509">
        <v>0</v>
      </c>
      <c r="AE46" s="1311" t="s">
        <v>1090</v>
      </c>
      <c r="AF46" s="1311" t="s">
        <v>1090</v>
      </c>
      <c r="AG46" s="1311" t="str">
        <f t="shared" si="36"/>
        <v>-</v>
      </c>
      <c r="AH46" s="98"/>
      <c r="AI46" s="98"/>
      <c r="AJ46" s="98"/>
      <c r="AK46" s="98"/>
      <c r="AL46" s="98"/>
      <c r="AM46" s="1692">
        <f t="shared" si="37"/>
        <v>0</v>
      </c>
      <c r="AN46" s="1699">
        <f t="shared" si="23"/>
        <v>0</v>
      </c>
      <c r="AO46" s="1697">
        <v>0</v>
      </c>
      <c r="AP46" s="1699" t="s">
        <v>1090</v>
      </c>
      <c r="AQ46" s="1699">
        <f t="shared" si="39"/>
        <v>0</v>
      </c>
      <c r="AR46" s="1699">
        <v>0</v>
      </c>
      <c r="AS46" s="1748">
        <v>0</v>
      </c>
      <c r="AT46" s="1689"/>
      <c r="AU46" s="1691" t="s">
        <v>2181</v>
      </c>
      <c r="AV46" s="1691" t="s">
        <v>2182</v>
      </c>
      <c r="AW46" s="2080" t="s">
        <v>1090</v>
      </c>
      <c r="AX46" s="2084">
        <f t="shared" si="33"/>
        <v>0</v>
      </c>
      <c r="AY46" s="2085">
        <f t="shared" si="24"/>
        <v>0</v>
      </c>
      <c r="AZ46" s="2084" t="s">
        <v>1090</v>
      </c>
      <c r="BA46" s="2085" t="s">
        <v>1090</v>
      </c>
      <c r="BB46" s="2085">
        <v>0</v>
      </c>
      <c r="BC46" s="2086">
        <v>0</v>
      </c>
      <c r="BD46" s="2306">
        <v>0</v>
      </c>
      <c r="BE46" s="625" t="s">
        <v>1090</v>
      </c>
      <c r="BF46" s="1988" t="s">
        <v>2506</v>
      </c>
      <c r="BG46" s="1988" t="s">
        <v>1090</v>
      </c>
      <c r="BH46" s="2339">
        <f t="shared" si="41"/>
        <v>0</v>
      </c>
      <c r="BI46" s="2373">
        <f t="shared" si="25"/>
        <v>0</v>
      </c>
      <c r="BJ46" s="2339">
        <v>0</v>
      </c>
      <c r="BK46" s="2373" t="s">
        <v>1090</v>
      </c>
      <c r="BL46" s="2373">
        <v>0</v>
      </c>
      <c r="BM46" s="2374">
        <v>0</v>
      </c>
      <c r="BN46" s="2375"/>
      <c r="BO46" s="2378"/>
      <c r="BP46" s="2376" t="s">
        <v>2961</v>
      </c>
      <c r="BQ46" s="2376"/>
    </row>
    <row r="47" spans="1:69" s="49" customFormat="1" ht="182.25" customHeight="1" thickBot="1">
      <c r="A47" s="2655"/>
      <c r="B47" s="2655"/>
      <c r="C47" s="2666"/>
      <c r="D47" s="1679" t="s">
        <v>2148</v>
      </c>
      <c r="E47" s="64" t="s">
        <v>2117</v>
      </c>
      <c r="F47" s="64" t="s">
        <v>2149</v>
      </c>
      <c r="G47" s="858" t="s">
        <v>2150</v>
      </c>
      <c r="H47" s="65" t="s">
        <v>1210</v>
      </c>
      <c r="I47" s="251">
        <v>0.143</v>
      </c>
      <c r="J47" s="65" t="s">
        <v>1213</v>
      </c>
      <c r="K47" s="67">
        <v>42005</v>
      </c>
      <c r="L47" s="546">
        <v>42369</v>
      </c>
      <c r="M47" s="1684"/>
      <c r="N47" s="1684"/>
      <c r="O47" s="1684"/>
      <c r="P47" s="1684"/>
      <c r="Q47" s="1684"/>
      <c r="R47" s="1684"/>
      <c r="S47" s="1684"/>
      <c r="T47" s="1684"/>
      <c r="U47" s="1685"/>
      <c r="V47" s="1685"/>
      <c r="W47" s="1685"/>
      <c r="X47" s="487"/>
      <c r="Y47" s="1686" t="s">
        <v>100</v>
      </c>
      <c r="Z47" s="458">
        <v>0</v>
      </c>
      <c r="AA47" s="97" t="s">
        <v>1090</v>
      </c>
      <c r="AB47" s="1292">
        <f t="shared" si="21"/>
        <v>0</v>
      </c>
      <c r="AC47" s="1311">
        <f t="shared" si="22"/>
        <v>0</v>
      </c>
      <c r="AD47" s="1509">
        <v>0</v>
      </c>
      <c r="AE47" s="1311" t="s">
        <v>1090</v>
      </c>
      <c r="AF47" s="1311" t="e">
        <f t="shared" si="35"/>
        <v>#VALUE!</v>
      </c>
      <c r="AG47" s="1311" t="e">
        <f t="shared" si="36"/>
        <v>#VALUE!</v>
      </c>
      <c r="AH47" s="99"/>
      <c r="AI47" s="98"/>
      <c r="AJ47" s="99"/>
      <c r="AK47" s="98"/>
      <c r="AL47" s="98"/>
      <c r="AM47" s="1692">
        <f t="shared" si="37"/>
        <v>0</v>
      </c>
      <c r="AN47" s="1699">
        <f t="shared" si="23"/>
        <v>0</v>
      </c>
      <c r="AO47" s="1697">
        <v>1</v>
      </c>
      <c r="AP47" s="1699" t="s">
        <v>1090</v>
      </c>
      <c r="AQ47" s="1699" t="s">
        <v>1090</v>
      </c>
      <c r="AR47" s="1699" t="str">
        <f t="shared" si="40"/>
        <v>-</v>
      </c>
      <c r="AS47" s="1748">
        <v>0</v>
      </c>
      <c r="AT47" s="1689"/>
      <c r="AU47" s="1691" t="s">
        <v>2183</v>
      </c>
      <c r="AV47" s="1691"/>
      <c r="AW47" s="2080">
        <f t="shared" si="12"/>
        <v>3</v>
      </c>
      <c r="AX47" s="2084">
        <f t="shared" si="33"/>
        <v>0</v>
      </c>
      <c r="AY47" s="2085">
        <f t="shared" si="24"/>
        <v>0</v>
      </c>
      <c r="AZ47" s="2084">
        <v>2</v>
      </c>
      <c r="BA47" s="2085" t="s">
        <v>1090</v>
      </c>
      <c r="BB47" s="2085" t="s">
        <v>1090</v>
      </c>
      <c r="BC47" s="2086" t="s">
        <v>1090</v>
      </c>
      <c r="BD47" s="2306">
        <v>0</v>
      </c>
      <c r="BE47" s="625" t="s">
        <v>1090</v>
      </c>
      <c r="BF47" s="1988" t="s">
        <v>2507</v>
      </c>
      <c r="BG47" s="1988" t="s">
        <v>1090</v>
      </c>
      <c r="BH47" s="2339">
        <f t="shared" si="41"/>
        <v>0</v>
      </c>
      <c r="BI47" s="2373">
        <f t="shared" si="25"/>
        <v>0</v>
      </c>
      <c r="BJ47" s="2339">
        <v>4</v>
      </c>
      <c r="BK47" s="2373" t="s">
        <v>1090</v>
      </c>
      <c r="BL47" s="2373" t="s">
        <v>1090</v>
      </c>
      <c r="BM47" s="2374" t="s">
        <v>1090</v>
      </c>
      <c r="BN47" s="2375"/>
      <c r="BO47" s="2378"/>
      <c r="BP47" s="2376" t="s">
        <v>2962</v>
      </c>
      <c r="BQ47" s="2376"/>
    </row>
    <row r="48" spans="1:69" s="49" customFormat="1" ht="115.5" customHeight="1" thickBot="1">
      <c r="A48" s="2655"/>
      <c r="B48" s="2655"/>
      <c r="C48" s="2667" t="s">
        <v>817</v>
      </c>
      <c r="D48" s="1680" t="s">
        <v>2151</v>
      </c>
      <c r="E48" s="1681" t="s">
        <v>2152</v>
      </c>
      <c r="F48" s="77">
        <v>4</v>
      </c>
      <c r="G48" s="77" t="s">
        <v>1187</v>
      </c>
      <c r="H48" s="65" t="s">
        <v>1210</v>
      </c>
      <c r="I48" s="251">
        <v>0.143</v>
      </c>
      <c r="J48" s="65" t="s">
        <v>1186</v>
      </c>
      <c r="K48" s="67">
        <v>42005</v>
      </c>
      <c r="L48" s="439">
        <v>42369</v>
      </c>
      <c r="M48" s="156"/>
      <c r="N48" s="156"/>
      <c r="O48" s="156"/>
      <c r="P48" s="156">
        <v>1</v>
      </c>
      <c r="Q48" s="156"/>
      <c r="R48" s="156">
        <v>1</v>
      </c>
      <c r="S48" s="156"/>
      <c r="T48" s="345">
        <v>1</v>
      </c>
      <c r="U48" s="346"/>
      <c r="V48" s="138">
        <v>1</v>
      </c>
      <c r="W48" s="138"/>
      <c r="X48" s="547"/>
      <c r="Y48" s="548">
        <v>4</v>
      </c>
      <c r="Z48" s="488">
        <v>0</v>
      </c>
      <c r="AA48" s="253" t="s">
        <v>1090</v>
      </c>
      <c r="AB48" s="1683">
        <f t="shared" si="21"/>
        <v>0</v>
      </c>
      <c r="AC48" s="1311">
        <f t="shared" si="22"/>
        <v>0</v>
      </c>
      <c r="AD48" s="1509">
        <v>0</v>
      </c>
      <c r="AE48" s="1311" t="s">
        <v>1090</v>
      </c>
      <c r="AF48" s="1311">
        <f t="shared" si="35"/>
        <v>0</v>
      </c>
      <c r="AG48" s="1311">
        <f t="shared" si="36"/>
        <v>0</v>
      </c>
      <c r="AH48" s="99"/>
      <c r="AI48" s="98"/>
      <c r="AJ48" s="99"/>
      <c r="AK48" s="98"/>
      <c r="AL48" s="98"/>
      <c r="AM48" s="1692">
        <f t="shared" si="37"/>
        <v>1</v>
      </c>
      <c r="AN48" s="1699">
        <f t="shared" si="23"/>
        <v>1</v>
      </c>
      <c r="AO48" s="1697">
        <v>1</v>
      </c>
      <c r="AP48" s="1699">
        <f t="shared" si="38"/>
        <v>1</v>
      </c>
      <c r="AQ48" s="1699">
        <f t="shared" si="39"/>
        <v>0.25</v>
      </c>
      <c r="AR48" s="1699">
        <v>0.25</v>
      </c>
      <c r="AS48" s="1748">
        <v>0</v>
      </c>
      <c r="AT48" s="1689"/>
      <c r="AU48" s="1691" t="s">
        <v>2184</v>
      </c>
      <c r="AV48" s="1691" t="s">
        <v>2185</v>
      </c>
      <c r="AW48" s="2080">
        <f t="shared" si="12"/>
        <v>2</v>
      </c>
      <c r="AX48" s="2084">
        <f t="shared" si="33"/>
        <v>1</v>
      </c>
      <c r="AY48" s="2085">
        <f t="shared" si="24"/>
        <v>1</v>
      </c>
      <c r="AZ48" s="2084">
        <v>1</v>
      </c>
      <c r="BA48" s="2085">
        <f aca="true" t="shared" si="42" ref="BA48">AZ48/AX48</f>
        <v>1</v>
      </c>
      <c r="BB48" s="2085">
        <f>AZ48/Y48</f>
        <v>0.25</v>
      </c>
      <c r="BC48" s="2086">
        <f t="shared" si="32"/>
        <v>0.5</v>
      </c>
      <c r="BD48" s="2306">
        <v>0</v>
      </c>
      <c r="BE48" s="625" t="s">
        <v>1090</v>
      </c>
      <c r="BF48" s="1988" t="s">
        <v>2508</v>
      </c>
      <c r="BG48" s="1988" t="s">
        <v>1090</v>
      </c>
      <c r="BH48" s="2339">
        <f t="shared" si="41"/>
        <v>3</v>
      </c>
      <c r="BI48" s="2373">
        <f t="shared" si="25"/>
        <v>1</v>
      </c>
      <c r="BJ48" s="2339">
        <v>0</v>
      </c>
      <c r="BK48" s="2373">
        <v>0</v>
      </c>
      <c r="BL48" s="2373">
        <v>0</v>
      </c>
      <c r="BM48" s="2374">
        <v>0</v>
      </c>
      <c r="BN48" s="2375"/>
      <c r="BO48" s="2378"/>
      <c r="BP48" s="2376"/>
      <c r="BQ48" s="2376" t="s">
        <v>2963</v>
      </c>
    </row>
    <row r="49" spans="1:69" s="49" customFormat="1" ht="216" customHeight="1" thickBot="1">
      <c r="A49" s="2655"/>
      <c r="B49" s="2655"/>
      <c r="C49" s="2668"/>
      <c r="D49" s="1667" t="s">
        <v>2153</v>
      </c>
      <c r="E49" s="1682" t="s">
        <v>2154</v>
      </c>
      <c r="F49" s="549" t="s">
        <v>505</v>
      </c>
      <c r="G49" s="549" t="s">
        <v>72</v>
      </c>
      <c r="H49" s="65" t="s">
        <v>2109</v>
      </c>
      <c r="I49" s="251">
        <v>0.143</v>
      </c>
      <c r="J49" s="65" t="s">
        <v>2155</v>
      </c>
      <c r="K49" s="67">
        <v>42005</v>
      </c>
      <c r="L49" s="439">
        <v>42369</v>
      </c>
      <c r="M49" s="550"/>
      <c r="N49" s="550"/>
      <c r="O49" s="550"/>
      <c r="P49" s="550"/>
      <c r="Q49" s="550"/>
      <c r="R49" s="550"/>
      <c r="S49" s="550"/>
      <c r="T49" s="551"/>
      <c r="U49" s="345"/>
      <c r="V49" s="346"/>
      <c r="W49" s="331"/>
      <c r="X49" s="552"/>
      <c r="Y49" s="553" t="s">
        <v>100</v>
      </c>
      <c r="Z49" s="488">
        <v>0</v>
      </c>
      <c r="AA49" s="209" t="s">
        <v>1090</v>
      </c>
      <c r="AB49" s="1292">
        <f t="shared" si="21"/>
        <v>0</v>
      </c>
      <c r="AC49" s="1311">
        <f t="shared" si="22"/>
        <v>0</v>
      </c>
      <c r="AD49" s="1509">
        <v>0</v>
      </c>
      <c r="AE49" s="1311" t="s">
        <v>1090</v>
      </c>
      <c r="AF49" s="1311" t="e">
        <f t="shared" si="35"/>
        <v>#VALUE!</v>
      </c>
      <c r="AG49" s="1311" t="e">
        <f t="shared" si="36"/>
        <v>#VALUE!</v>
      </c>
      <c r="AH49" s="99"/>
      <c r="AI49" s="98"/>
      <c r="AJ49" s="99"/>
      <c r="AK49" s="98"/>
      <c r="AL49" s="98"/>
      <c r="AM49" s="1692">
        <f t="shared" si="37"/>
        <v>0</v>
      </c>
      <c r="AN49" s="1699">
        <f t="shared" si="23"/>
        <v>0</v>
      </c>
      <c r="AO49" s="1697">
        <v>0</v>
      </c>
      <c r="AP49" s="1699" t="s">
        <v>1090</v>
      </c>
      <c r="AQ49" s="1699">
        <v>0</v>
      </c>
      <c r="AR49" s="1699" t="str">
        <f t="shared" si="40"/>
        <v>-</v>
      </c>
      <c r="AS49" s="1748">
        <v>0</v>
      </c>
      <c r="AT49" s="1689"/>
      <c r="AU49" s="1691" t="s">
        <v>2186</v>
      </c>
      <c r="AV49" s="1691"/>
      <c r="AW49" s="2080">
        <f t="shared" si="12"/>
        <v>1</v>
      </c>
      <c r="AX49" s="2084">
        <f t="shared" si="33"/>
        <v>0</v>
      </c>
      <c r="AY49" s="2085">
        <f t="shared" si="24"/>
        <v>0</v>
      </c>
      <c r="AZ49" s="2084">
        <v>1</v>
      </c>
      <c r="BA49" s="2085" t="s">
        <v>1090</v>
      </c>
      <c r="BB49" s="2085" t="s">
        <v>1090</v>
      </c>
      <c r="BC49" s="2086" t="s">
        <v>1090</v>
      </c>
      <c r="BD49" s="2306">
        <v>0</v>
      </c>
      <c r="BE49" s="625" t="s">
        <v>1090</v>
      </c>
      <c r="BF49" s="1988" t="s">
        <v>2509</v>
      </c>
      <c r="BG49" s="1988" t="s">
        <v>1090</v>
      </c>
      <c r="BH49" s="2339">
        <f t="shared" si="41"/>
        <v>0</v>
      </c>
      <c r="BI49" s="2373">
        <f t="shared" si="25"/>
        <v>0</v>
      </c>
      <c r="BJ49" s="2339">
        <v>1</v>
      </c>
      <c r="BK49" s="2373" t="s">
        <v>1090</v>
      </c>
      <c r="BL49" s="2373" t="s">
        <v>1090</v>
      </c>
      <c r="BM49" s="2374" t="s">
        <v>1090</v>
      </c>
      <c r="BN49" s="2375"/>
      <c r="BO49" s="2378"/>
      <c r="BP49" s="2376"/>
      <c r="BQ49" s="2376" t="s">
        <v>2964</v>
      </c>
    </row>
    <row r="50" spans="1:69" s="49" customFormat="1" ht="75" customHeight="1" thickBot="1">
      <c r="A50" s="2655"/>
      <c r="B50" s="2655"/>
      <c r="C50" s="2668"/>
      <c r="D50" s="1687" t="s">
        <v>2156</v>
      </c>
      <c r="E50" s="1055" t="s">
        <v>2157</v>
      </c>
      <c r="F50" s="549" t="s">
        <v>219</v>
      </c>
      <c r="G50" s="549" t="s">
        <v>1214</v>
      </c>
      <c r="H50" s="65" t="s">
        <v>1215</v>
      </c>
      <c r="I50" s="251">
        <v>0.143</v>
      </c>
      <c r="J50" s="65" t="s">
        <v>1199</v>
      </c>
      <c r="K50" s="67">
        <v>42005</v>
      </c>
      <c r="L50" s="554">
        <v>42369</v>
      </c>
      <c r="M50" s="44"/>
      <c r="N50" s="44"/>
      <c r="O50" s="44"/>
      <c r="P50" s="44"/>
      <c r="Q50" s="44"/>
      <c r="R50" s="44"/>
      <c r="S50" s="44"/>
      <c r="T50" s="44"/>
      <c r="U50" s="44"/>
      <c r="V50" s="44"/>
      <c r="W50" s="44"/>
      <c r="X50" s="411"/>
      <c r="Y50" s="555" t="s">
        <v>100</v>
      </c>
      <c r="Z50" s="46">
        <v>800000000</v>
      </c>
      <c r="AA50" s="209" t="s">
        <v>1090</v>
      </c>
      <c r="AB50" s="1292">
        <f t="shared" si="21"/>
        <v>0</v>
      </c>
      <c r="AC50" s="1311">
        <f t="shared" si="22"/>
        <v>0</v>
      </c>
      <c r="AD50" s="1509">
        <v>0</v>
      </c>
      <c r="AE50" s="1311" t="s">
        <v>1090</v>
      </c>
      <c r="AF50" s="1311" t="s">
        <v>1090</v>
      </c>
      <c r="AG50" s="1311" t="str">
        <f t="shared" si="36"/>
        <v>-</v>
      </c>
      <c r="AH50" s="99"/>
      <c r="AI50" s="98"/>
      <c r="AJ50" s="99"/>
      <c r="AK50" s="98"/>
      <c r="AL50" s="98"/>
      <c r="AM50" s="1692">
        <f t="shared" si="37"/>
        <v>0</v>
      </c>
      <c r="AN50" s="1699">
        <f t="shared" si="23"/>
        <v>0</v>
      </c>
      <c r="AO50" s="1697">
        <v>0</v>
      </c>
      <c r="AP50" s="1699" t="s">
        <v>1090</v>
      </c>
      <c r="AQ50" s="1699" t="s">
        <v>1090</v>
      </c>
      <c r="AR50" s="1699" t="str">
        <f t="shared" si="40"/>
        <v>-</v>
      </c>
      <c r="AS50" s="1748">
        <v>0</v>
      </c>
      <c r="AT50" s="1689"/>
      <c r="AU50" s="1691" t="s">
        <v>1090</v>
      </c>
      <c r="AV50" s="1691"/>
      <c r="AW50" s="2080" t="s">
        <v>1090</v>
      </c>
      <c r="AX50" s="2084">
        <f t="shared" si="33"/>
        <v>0</v>
      </c>
      <c r="AY50" s="2085">
        <f t="shared" si="24"/>
        <v>0</v>
      </c>
      <c r="AZ50" s="2084" t="s">
        <v>1090</v>
      </c>
      <c r="BA50" s="2085" t="s">
        <v>1090</v>
      </c>
      <c r="BB50" s="2085" t="s">
        <v>1090</v>
      </c>
      <c r="BC50" s="2086" t="s">
        <v>1090</v>
      </c>
      <c r="BD50" s="2306">
        <v>0</v>
      </c>
      <c r="BE50" s="625" t="s">
        <v>1090</v>
      </c>
      <c r="BF50" s="1988" t="s">
        <v>1090</v>
      </c>
      <c r="BG50" s="1988" t="s">
        <v>2510</v>
      </c>
      <c r="BH50" s="2339">
        <f t="shared" si="41"/>
        <v>0</v>
      </c>
      <c r="BI50" s="2373">
        <f t="shared" si="25"/>
        <v>0</v>
      </c>
      <c r="BJ50" s="2339">
        <v>0</v>
      </c>
      <c r="BK50" s="2373" t="s">
        <v>1090</v>
      </c>
      <c r="BL50" s="2373" t="s">
        <v>1090</v>
      </c>
      <c r="BM50" s="2374" t="s">
        <v>1090</v>
      </c>
      <c r="BN50" s="2375"/>
      <c r="BO50" s="2378"/>
      <c r="BP50" s="2376"/>
      <c r="BQ50" s="2376" t="s">
        <v>2965</v>
      </c>
    </row>
    <row r="51" spans="1:69" s="34" customFormat="1" ht="20.1" customHeight="1" thickBot="1">
      <c r="A51" s="2652" t="s">
        <v>130</v>
      </c>
      <c r="B51" s="2653"/>
      <c r="C51" s="2653"/>
      <c r="D51" s="2654"/>
      <c r="E51" s="469"/>
      <c r="F51" s="470"/>
      <c r="G51" s="470"/>
      <c r="H51" s="470"/>
      <c r="I51" s="86">
        <f>SUM(I44:I50)</f>
        <v>1.001</v>
      </c>
      <c r="J51" s="470"/>
      <c r="K51" s="470"/>
      <c r="L51" s="470"/>
      <c r="M51" s="470"/>
      <c r="N51" s="470"/>
      <c r="O51" s="470"/>
      <c r="P51" s="470"/>
      <c r="Q51" s="470"/>
      <c r="R51" s="470"/>
      <c r="S51" s="470"/>
      <c r="T51" s="470"/>
      <c r="U51" s="470"/>
      <c r="V51" s="470"/>
      <c r="W51" s="470"/>
      <c r="X51" s="87"/>
      <c r="Y51" s="87"/>
      <c r="Z51" s="88">
        <f>SUM(Z44:Z50)</f>
        <v>2300000000</v>
      </c>
      <c r="AA51" s="471"/>
      <c r="AB51" s="1503"/>
      <c r="AC51" s="1504">
        <f>AVERAGEIF(AC44:AC50,"&gt;0")</f>
        <v>1</v>
      </c>
      <c r="AD51" s="1511"/>
      <c r="AE51" s="1494">
        <f>AVERAGE(AE44:AE50)</f>
        <v>1</v>
      </c>
      <c r="AF51" s="1494"/>
      <c r="AG51" s="1494" t="e">
        <f>AVERAGE(AG44:AG50)</f>
        <v>#VALUE!</v>
      </c>
      <c r="AH51" s="91"/>
      <c r="AI51" s="91"/>
      <c r="AJ51" s="91"/>
      <c r="AK51" s="91"/>
      <c r="AL51" s="91"/>
      <c r="AM51" s="1850"/>
      <c r="AN51" s="1851">
        <f>AVERAGEIF(AN44:AN50,"&gt;0")</f>
        <v>1</v>
      </c>
      <c r="AO51" s="1850"/>
      <c r="AP51" s="1852">
        <f>AVERAGE(AP44:AP50)</f>
        <v>0.75</v>
      </c>
      <c r="AQ51" s="1852"/>
      <c r="AR51" s="1852">
        <f>AVERAGE(AR44:AR50)</f>
        <v>0.1875</v>
      </c>
      <c r="AS51" s="1850"/>
      <c r="AT51" s="1850"/>
      <c r="AU51" s="1850"/>
      <c r="AV51" s="1850"/>
      <c r="AW51" s="2080">
        <f t="shared" si="12"/>
        <v>0</v>
      </c>
      <c r="AX51" s="636"/>
      <c r="AY51" s="1721">
        <v>1</v>
      </c>
      <c r="AZ51" s="636"/>
      <c r="BA51" s="1261">
        <f>AVERAGE(BA44:BA50)</f>
        <v>1</v>
      </c>
      <c r="BB51" s="636"/>
      <c r="BC51" s="1261">
        <f>AVERAGE(BC44:BC50)</f>
        <v>0.375</v>
      </c>
      <c r="BD51" s="636"/>
      <c r="BE51" s="636"/>
      <c r="BF51" s="1325"/>
      <c r="BG51" s="1325"/>
      <c r="BH51" s="636"/>
      <c r="BI51" s="1721">
        <v>1</v>
      </c>
      <c r="BJ51" s="636"/>
      <c r="BK51" s="1261">
        <f>AVERAGE(BK44:BK50)</f>
        <v>0.6666666666666666</v>
      </c>
      <c r="BL51" s="636"/>
      <c r="BM51" s="1261">
        <f>AVERAGE(BM44:BM50)</f>
        <v>0.5</v>
      </c>
      <c r="BN51" s="636"/>
      <c r="BO51" s="636"/>
      <c r="BP51" s="1325"/>
      <c r="BQ51" s="1325"/>
    </row>
    <row r="52" spans="1:69" s="34" customFormat="1" ht="20.1" customHeight="1" thickBot="1">
      <c r="A52" s="2669" t="s">
        <v>290</v>
      </c>
      <c r="B52" s="2669"/>
      <c r="C52" s="2669"/>
      <c r="D52" s="2669"/>
      <c r="E52" s="219"/>
      <c r="F52" s="219"/>
      <c r="G52" s="219"/>
      <c r="H52" s="477"/>
      <c r="I52" s="221"/>
      <c r="J52" s="477"/>
      <c r="K52" s="477"/>
      <c r="L52" s="477"/>
      <c r="M52" s="477"/>
      <c r="N52" s="477"/>
      <c r="O52" s="477"/>
      <c r="P52" s="477"/>
      <c r="Q52" s="477"/>
      <c r="R52" s="477"/>
      <c r="S52" s="477"/>
      <c r="T52" s="477"/>
      <c r="U52" s="477"/>
      <c r="V52" s="477"/>
      <c r="W52" s="477"/>
      <c r="X52" s="222"/>
      <c r="Y52" s="222"/>
      <c r="Z52" s="223">
        <f>SUM(Z35,Z41,Z51,Z43)</f>
        <v>8077000000</v>
      </c>
      <c r="AA52" s="478"/>
      <c r="AB52" s="1524"/>
      <c r="AC52" s="1525">
        <f>AVERAGE(AC51,AC43,AC41,AC35)</f>
        <v>1</v>
      </c>
      <c r="AD52" s="1526"/>
      <c r="AE52" s="1525">
        <f>AVERAGE(AE51,AE43,AE41,AE35)</f>
        <v>1</v>
      </c>
      <c r="AF52" s="1525"/>
      <c r="AG52" s="1525" t="e">
        <f>AVERAGE(AG51,AG43,AG41,AG35)</f>
        <v>#VALUE!</v>
      </c>
      <c r="AH52" s="163"/>
      <c r="AI52" s="163"/>
      <c r="AJ52" s="163"/>
      <c r="AK52" s="163"/>
      <c r="AL52" s="163"/>
      <c r="AM52" s="163"/>
      <c r="AN52" s="306">
        <f>AVERAGE(AN51,AN43,AN41,AN35)</f>
        <v>1</v>
      </c>
      <c r="AO52" s="163"/>
      <c r="AP52" s="306">
        <f>AVERAGE(AP51,AP43,AP41,AP35)</f>
        <v>0.75</v>
      </c>
      <c r="AQ52" s="1329"/>
      <c r="AR52" s="306">
        <f>AVERAGE(AR51,AR43,AR41,AR35)</f>
        <v>0.046875</v>
      </c>
      <c r="AS52" s="163"/>
      <c r="AT52" s="163"/>
      <c r="AU52" s="163"/>
      <c r="AV52" s="163"/>
      <c r="AW52" s="2080">
        <f t="shared" si="12"/>
        <v>0</v>
      </c>
      <c r="AX52" s="163"/>
      <c r="AY52" s="1309">
        <v>1</v>
      </c>
      <c r="AZ52" s="163"/>
      <c r="BA52" s="1279">
        <f>AVERAGE(BA51,BA43,BA41,BA35)</f>
        <v>1</v>
      </c>
      <c r="BB52" s="163"/>
      <c r="BC52" s="1279">
        <f>AVERAGE(BC51,BC43,BC41,BC35)</f>
        <v>0.26041666666666663</v>
      </c>
      <c r="BD52" s="163"/>
      <c r="BE52" s="1329"/>
      <c r="BF52" s="1329"/>
      <c r="BG52" s="1329"/>
      <c r="BH52" s="1329"/>
      <c r="BI52" s="1309">
        <v>1</v>
      </c>
      <c r="BJ52" s="1329"/>
      <c r="BK52" s="1279">
        <f>AVERAGE(BK51,BK43,BK41,BK35)</f>
        <v>0.5833333333333333</v>
      </c>
      <c r="BL52" s="1329"/>
      <c r="BM52" s="1342">
        <f>AVERAGE(BM51,BM43,BM41,BM35,)</f>
        <v>0.16666666666666666</v>
      </c>
      <c r="BN52" s="1329"/>
      <c r="BO52" s="1329"/>
      <c r="BP52" s="1329"/>
      <c r="BQ52" s="1329"/>
    </row>
    <row r="53" spans="1:66" s="13" customFormat="1" ht="9.95" customHeight="1" thickBot="1">
      <c r="A53" s="2663"/>
      <c r="B53" s="2663"/>
      <c r="C53" s="2663"/>
      <c r="D53" s="2663"/>
      <c r="E53" s="2663"/>
      <c r="F53" s="2663"/>
      <c r="G53" s="2663"/>
      <c r="H53" s="2663"/>
      <c r="I53" s="2663"/>
      <c r="J53" s="2663"/>
      <c r="K53" s="2663"/>
      <c r="L53" s="2663"/>
      <c r="M53" s="2663"/>
      <c r="N53" s="2663"/>
      <c r="O53" s="2663"/>
      <c r="P53" s="2663"/>
      <c r="Q53" s="2663"/>
      <c r="R53" s="2663"/>
      <c r="S53" s="2663"/>
      <c r="T53" s="2663"/>
      <c r="U53" s="2663"/>
      <c r="V53" s="2663"/>
      <c r="W53" s="2663"/>
      <c r="X53" s="2663"/>
      <c r="Y53" s="2663"/>
      <c r="Z53" s="2663"/>
      <c r="AA53" s="2663"/>
      <c r="AB53" s="1297"/>
      <c r="AC53" s="1310"/>
      <c r="AD53" s="1514"/>
      <c r="AE53" s="1310"/>
      <c r="AF53" s="1310"/>
      <c r="AG53" s="1310"/>
      <c r="AH53" s="313"/>
      <c r="AI53" s="313"/>
      <c r="AJ53" s="313"/>
      <c r="AK53" s="313"/>
      <c r="AL53" s="313"/>
      <c r="AM53" s="314"/>
      <c r="AN53" s="314"/>
      <c r="AO53" s="314"/>
      <c r="AP53" s="314"/>
      <c r="AQ53" s="314"/>
      <c r="AR53" s="314"/>
      <c r="AS53" s="314"/>
      <c r="AT53" s="314"/>
      <c r="AU53" s="314"/>
      <c r="AV53" s="314"/>
      <c r="AW53" s="2080">
        <f t="shared" si="12"/>
        <v>0</v>
      </c>
      <c r="AX53" s="314"/>
      <c r="AY53" s="314"/>
      <c r="AZ53" s="314"/>
      <c r="BA53" s="314"/>
      <c r="BB53" s="314"/>
      <c r="BC53" s="314"/>
      <c r="BD53" s="314"/>
      <c r="BH53" s="314"/>
      <c r="BI53" s="314"/>
      <c r="BJ53" s="314"/>
      <c r="BK53" s="314"/>
      <c r="BL53" s="314"/>
      <c r="BM53" s="314"/>
      <c r="BN53" s="314"/>
    </row>
    <row r="54" spans="1:69" s="4" customFormat="1" ht="21" customHeight="1" thickBot="1">
      <c r="A54" s="2670" t="s">
        <v>9</v>
      </c>
      <c r="B54" s="2670"/>
      <c r="C54" s="2670"/>
      <c r="D54" s="2670"/>
      <c r="E54" s="2648" t="s">
        <v>292</v>
      </c>
      <c r="F54" s="2649"/>
      <c r="G54" s="2649"/>
      <c r="H54" s="2649"/>
      <c r="I54" s="2649"/>
      <c r="J54" s="2649"/>
      <c r="K54" s="2649"/>
      <c r="L54" s="2649"/>
      <c r="M54" s="2649"/>
      <c r="N54" s="2649"/>
      <c r="O54" s="2649"/>
      <c r="P54" s="2649"/>
      <c r="Q54" s="2649"/>
      <c r="R54" s="2649"/>
      <c r="S54" s="2649"/>
      <c r="T54" s="2649"/>
      <c r="U54" s="2649"/>
      <c r="V54" s="2649"/>
      <c r="W54" s="2649"/>
      <c r="X54" s="2649"/>
      <c r="Y54" s="2649"/>
      <c r="Z54" s="2649"/>
      <c r="AA54" s="2650"/>
      <c r="AB54" s="2651" t="s">
        <v>292</v>
      </c>
      <c r="AC54" s="2651"/>
      <c r="AD54" s="2651"/>
      <c r="AE54" s="2651"/>
      <c r="AF54" s="2651"/>
      <c r="AG54" s="2651"/>
      <c r="AH54" s="2651"/>
      <c r="AI54" s="2651"/>
      <c r="AJ54" s="2651"/>
      <c r="AK54" s="2651"/>
      <c r="AL54" s="2651"/>
      <c r="AM54" s="2651" t="s">
        <v>292</v>
      </c>
      <c r="AN54" s="2651"/>
      <c r="AO54" s="2651"/>
      <c r="AP54" s="2651"/>
      <c r="AQ54" s="2651"/>
      <c r="AR54" s="2651"/>
      <c r="AS54" s="2651"/>
      <c r="AT54" s="2651"/>
      <c r="AU54" s="2651"/>
      <c r="AV54" s="2651"/>
      <c r="AW54" s="2080">
        <f t="shared" si="12"/>
        <v>0</v>
      </c>
      <c r="AX54" s="2584" t="s">
        <v>292</v>
      </c>
      <c r="AY54" s="2585"/>
      <c r="AZ54" s="2585"/>
      <c r="BA54" s="2585"/>
      <c r="BB54" s="2585"/>
      <c r="BC54" s="2585"/>
      <c r="BD54" s="2585"/>
      <c r="BE54" s="2585"/>
      <c r="BF54" s="2585"/>
      <c r="BG54" s="2585"/>
      <c r="BH54" s="2584" t="s">
        <v>292</v>
      </c>
      <c r="BI54" s="2585"/>
      <c r="BJ54" s="2585"/>
      <c r="BK54" s="2585"/>
      <c r="BL54" s="2585"/>
      <c r="BM54" s="2585"/>
      <c r="BN54" s="2585"/>
      <c r="BO54" s="2585"/>
      <c r="BP54" s="2585"/>
      <c r="BQ54" s="2585"/>
    </row>
    <row r="55" spans="1:66" s="13" customFormat="1" ht="9.95" customHeight="1" thickBot="1">
      <c r="A55" s="2663"/>
      <c r="B55" s="2663"/>
      <c r="C55" s="2663"/>
      <c r="D55" s="2663"/>
      <c r="E55" s="2663"/>
      <c r="F55" s="2663"/>
      <c r="G55" s="2663"/>
      <c r="H55" s="2663"/>
      <c r="I55" s="2663"/>
      <c r="J55" s="2663"/>
      <c r="K55" s="2663"/>
      <c r="L55" s="2663"/>
      <c r="M55" s="2663"/>
      <c r="N55" s="2663"/>
      <c r="O55" s="2663"/>
      <c r="P55" s="2663"/>
      <c r="Q55" s="2663"/>
      <c r="R55" s="2663"/>
      <c r="S55" s="2663"/>
      <c r="T55" s="2663"/>
      <c r="U55" s="2663"/>
      <c r="V55" s="2663"/>
      <c r="W55" s="2663"/>
      <c r="X55" s="2663"/>
      <c r="Y55" s="2663"/>
      <c r="Z55" s="2663"/>
      <c r="AA55" s="2663"/>
      <c r="AB55" s="1299"/>
      <c r="AC55" s="1313"/>
      <c r="AD55" s="1518"/>
      <c r="AE55" s="1313"/>
      <c r="AF55" s="1313"/>
      <c r="AG55" s="1313"/>
      <c r="AH55" s="392"/>
      <c r="AI55" s="392"/>
      <c r="AJ55" s="392"/>
      <c r="AK55" s="392"/>
      <c r="AL55" s="392"/>
      <c r="AM55" s="392"/>
      <c r="AN55" s="392"/>
      <c r="AO55" s="392"/>
      <c r="AP55" s="392"/>
      <c r="AQ55" s="392"/>
      <c r="AR55" s="392"/>
      <c r="AS55" s="392"/>
      <c r="AT55" s="392"/>
      <c r="AU55" s="392"/>
      <c r="AV55" s="392"/>
      <c r="AW55" s="2080">
        <f t="shared" si="12"/>
        <v>0</v>
      </c>
      <c r="AX55" s="392"/>
      <c r="AY55" s="392"/>
      <c r="AZ55" s="392"/>
      <c r="BA55" s="392"/>
      <c r="BB55" s="392"/>
      <c r="BC55" s="392"/>
      <c r="BD55" s="392"/>
      <c r="BH55" s="392"/>
      <c r="BI55" s="392"/>
      <c r="BJ55" s="392"/>
      <c r="BK55" s="392"/>
      <c r="BL55" s="392"/>
      <c r="BM55" s="392"/>
      <c r="BN55" s="392"/>
    </row>
    <row r="56" spans="1:69" s="35" customFormat="1" ht="36.75" thickBot="1">
      <c r="A56" s="22" t="s">
        <v>11</v>
      </c>
      <c r="B56" s="396" t="s">
        <v>12</v>
      </c>
      <c r="C56" s="22" t="s">
        <v>13</v>
      </c>
      <c r="D56" s="322" t="s">
        <v>14</v>
      </c>
      <c r="E56" s="322" t="s">
        <v>15</v>
      </c>
      <c r="F56" s="322" t="s">
        <v>16</v>
      </c>
      <c r="G56" s="322" t="s">
        <v>17</v>
      </c>
      <c r="H56" s="322" t="s">
        <v>18</v>
      </c>
      <c r="I56" s="556" t="s">
        <v>19</v>
      </c>
      <c r="J56" s="322" t="s">
        <v>20</v>
      </c>
      <c r="K56" s="322" t="s">
        <v>21</v>
      </c>
      <c r="L56" s="322" t="s">
        <v>22</v>
      </c>
      <c r="M56" s="484" t="s">
        <v>23</v>
      </c>
      <c r="N56" s="484" t="s">
        <v>24</v>
      </c>
      <c r="O56" s="484" t="s">
        <v>25</v>
      </c>
      <c r="P56" s="484" t="s">
        <v>26</v>
      </c>
      <c r="Q56" s="484" t="s">
        <v>27</v>
      </c>
      <c r="R56" s="484" t="s">
        <v>28</v>
      </c>
      <c r="S56" s="484" t="s">
        <v>29</v>
      </c>
      <c r="T56" s="484" t="s">
        <v>30</v>
      </c>
      <c r="U56" s="484" t="s">
        <v>31</v>
      </c>
      <c r="V56" s="484" t="s">
        <v>32</v>
      </c>
      <c r="W56" s="484" t="s">
        <v>33</v>
      </c>
      <c r="X56" s="557" t="s">
        <v>34</v>
      </c>
      <c r="Y56" s="558" t="s">
        <v>35</v>
      </c>
      <c r="Z56" s="485" t="s">
        <v>36</v>
      </c>
      <c r="AA56" s="322" t="s">
        <v>37</v>
      </c>
      <c r="AB56" s="1296" t="s">
        <v>38</v>
      </c>
      <c r="AC56" s="1613" t="s">
        <v>1781</v>
      </c>
      <c r="AD56" s="1508" t="s">
        <v>39</v>
      </c>
      <c r="AE56" s="1614" t="s">
        <v>1821</v>
      </c>
      <c r="AF56" s="1614" t="s">
        <v>1822</v>
      </c>
      <c r="AG56" s="1613" t="s">
        <v>1783</v>
      </c>
      <c r="AH56" s="32" t="s">
        <v>40</v>
      </c>
      <c r="AI56" s="32" t="s">
        <v>41</v>
      </c>
      <c r="AJ56" s="32" t="s">
        <v>42</v>
      </c>
      <c r="AK56" s="32" t="s">
        <v>43</v>
      </c>
      <c r="AL56" s="32" t="s">
        <v>44</v>
      </c>
      <c r="AM56" s="33" t="s">
        <v>45</v>
      </c>
      <c r="AN56" s="33" t="s">
        <v>1781</v>
      </c>
      <c r="AO56" s="33" t="s">
        <v>46</v>
      </c>
      <c r="AP56" s="33" t="s">
        <v>2193</v>
      </c>
      <c r="AQ56" s="33" t="s">
        <v>1822</v>
      </c>
      <c r="AR56" s="33" t="s">
        <v>2194</v>
      </c>
      <c r="AS56" s="33" t="s">
        <v>41</v>
      </c>
      <c r="AT56" s="33" t="s">
        <v>42</v>
      </c>
      <c r="AU56" s="33" t="s">
        <v>43</v>
      </c>
      <c r="AV56" s="33" t="s">
        <v>44</v>
      </c>
      <c r="AW56" s="2080" t="s">
        <v>1090</v>
      </c>
      <c r="AX56" s="1983" t="s">
        <v>47</v>
      </c>
      <c r="AY56" s="1983" t="s">
        <v>1781</v>
      </c>
      <c r="AZ56" s="1983" t="s">
        <v>48</v>
      </c>
      <c r="BA56" s="1983" t="s">
        <v>2453</v>
      </c>
      <c r="BB56" s="1983" t="s">
        <v>1822</v>
      </c>
      <c r="BC56" s="1984" t="s">
        <v>2489</v>
      </c>
      <c r="BD56" s="1983" t="s">
        <v>41</v>
      </c>
      <c r="BE56" s="1983" t="s">
        <v>42</v>
      </c>
      <c r="BF56" s="1986" t="s">
        <v>43</v>
      </c>
      <c r="BG56" s="1986" t="s">
        <v>44</v>
      </c>
      <c r="BH56" s="2364" t="s">
        <v>47</v>
      </c>
      <c r="BI56" s="2364" t="s">
        <v>1781</v>
      </c>
      <c r="BJ56" s="2364" t="s">
        <v>48</v>
      </c>
      <c r="BK56" s="2364" t="s">
        <v>2453</v>
      </c>
      <c r="BL56" s="2364" t="s">
        <v>1822</v>
      </c>
      <c r="BM56" s="2365" t="s">
        <v>2489</v>
      </c>
      <c r="BN56" s="2364" t="s">
        <v>41</v>
      </c>
      <c r="BO56" s="2364" t="s">
        <v>42</v>
      </c>
      <c r="BP56" s="2366" t="s">
        <v>43</v>
      </c>
      <c r="BQ56" s="2366" t="s">
        <v>44</v>
      </c>
    </row>
    <row r="57" spans="1:69" s="49" customFormat="1" ht="121.5" customHeight="1" thickBot="1">
      <c r="A57" s="2671">
        <v>1</v>
      </c>
      <c r="B57" s="2671" t="s">
        <v>131</v>
      </c>
      <c r="C57" s="2656" t="s">
        <v>503</v>
      </c>
      <c r="D57" s="213" t="s">
        <v>756</v>
      </c>
      <c r="E57" s="38" t="s">
        <v>72</v>
      </c>
      <c r="F57" s="111" t="s">
        <v>505</v>
      </c>
      <c r="G57" s="208" t="s">
        <v>73</v>
      </c>
      <c r="H57" s="65" t="s">
        <v>2139</v>
      </c>
      <c r="I57" s="106">
        <v>0.16666666666666669</v>
      </c>
      <c r="J57" s="42" t="s">
        <v>134</v>
      </c>
      <c r="K57" s="43">
        <v>42005</v>
      </c>
      <c r="L57" s="43">
        <v>42369</v>
      </c>
      <c r="M57" s="44"/>
      <c r="N57" s="44"/>
      <c r="O57" s="44"/>
      <c r="P57" s="44"/>
      <c r="Q57" s="44"/>
      <c r="R57" s="44"/>
      <c r="S57" s="44"/>
      <c r="T57" s="44"/>
      <c r="U57" s="44"/>
      <c r="V57" s="44"/>
      <c r="W57" s="44"/>
      <c r="X57" s="44"/>
      <c r="Y57" s="65" t="s">
        <v>506</v>
      </c>
      <c r="Z57" s="75">
        <v>0</v>
      </c>
      <c r="AA57" s="209" t="s">
        <v>1090</v>
      </c>
      <c r="AB57" s="1292">
        <f aca="true" t="shared" si="43" ref="AB57:AB64">SUM(M57:N57)</f>
        <v>0</v>
      </c>
      <c r="AC57" s="1311">
        <f aca="true" t="shared" si="44" ref="AC57:AC64">IF(AB57=0,0%,100%)</f>
        <v>0</v>
      </c>
      <c r="AD57" s="1509">
        <v>0</v>
      </c>
      <c r="AE57" s="1311" t="s">
        <v>1090</v>
      </c>
      <c r="AF57" s="1311" t="s">
        <v>1090</v>
      </c>
      <c r="AG57" s="1311" t="str">
        <f>AF57</f>
        <v>-</v>
      </c>
      <c r="AH57" s="99"/>
      <c r="AI57" s="98"/>
      <c r="AJ57" s="98"/>
      <c r="AK57" s="98"/>
      <c r="AL57" s="98"/>
      <c r="AM57" s="1692">
        <f>SUM(M57:P57)</f>
        <v>0</v>
      </c>
      <c r="AN57" s="1699">
        <f aca="true" t="shared" si="45" ref="AN57:AN64">IF(AM57=0,0%,100%)</f>
        <v>0</v>
      </c>
      <c r="AO57" s="1697">
        <v>0</v>
      </c>
      <c r="AP57" s="1699" t="s">
        <v>1090</v>
      </c>
      <c r="AQ57" s="1699" t="s">
        <v>1090</v>
      </c>
      <c r="AR57" s="1699" t="str">
        <f aca="true" t="shared" si="46" ref="AR57:AR64">IF(AN57&gt;0,AP57,"-")</f>
        <v>-</v>
      </c>
      <c r="AS57" s="1748">
        <v>0</v>
      </c>
      <c r="AT57" s="1689"/>
      <c r="AU57" s="1691"/>
      <c r="AV57" s="1691"/>
      <c r="AW57" s="2080">
        <f t="shared" si="12"/>
        <v>1</v>
      </c>
      <c r="AX57" s="2084">
        <f aca="true" t="shared" si="47" ref="AX57:AX62">SUM(Q57:R57)</f>
        <v>0</v>
      </c>
      <c r="AY57" s="2085">
        <f aca="true" t="shared" si="48" ref="AY57:AY64">IF(AX57=0,0%,100%)</f>
        <v>0</v>
      </c>
      <c r="AZ57" s="2084">
        <v>1</v>
      </c>
      <c r="BA57" s="2085" t="s">
        <v>1090</v>
      </c>
      <c r="BB57" s="2085" t="s">
        <v>1090</v>
      </c>
      <c r="BC57" s="2086" t="s">
        <v>1090</v>
      </c>
      <c r="BD57" s="2306">
        <v>0</v>
      </c>
      <c r="BE57" s="625" t="s">
        <v>1090</v>
      </c>
      <c r="BF57" s="1988" t="s">
        <v>2511</v>
      </c>
      <c r="BG57" s="1988" t="s">
        <v>2512</v>
      </c>
      <c r="BH57" s="2339">
        <f>SUM(M57:T57)</f>
        <v>0</v>
      </c>
      <c r="BI57" s="2373">
        <f aca="true" t="shared" si="49" ref="BI57:BI64">IF(BH57=0,0%,100%)</f>
        <v>0</v>
      </c>
      <c r="BJ57" s="2339">
        <v>2</v>
      </c>
      <c r="BK57" s="2373" t="s">
        <v>1090</v>
      </c>
      <c r="BL57" s="2373" t="s">
        <v>1090</v>
      </c>
      <c r="BM57" s="2374" t="s">
        <v>1090</v>
      </c>
      <c r="BN57" s="2375"/>
      <c r="BO57" s="2378"/>
      <c r="BP57" s="2376" t="s">
        <v>2966</v>
      </c>
      <c r="BQ57" s="2376"/>
    </row>
    <row r="58" spans="1:69" s="49" customFormat="1" ht="122.25" customHeight="1" thickBot="1">
      <c r="A58" s="2672"/>
      <c r="B58" s="2672"/>
      <c r="C58" s="2657"/>
      <c r="D58" s="107" t="s">
        <v>135</v>
      </c>
      <c r="E58" s="216" t="s">
        <v>136</v>
      </c>
      <c r="F58" s="215">
        <v>4</v>
      </c>
      <c r="G58" s="216" t="s">
        <v>137</v>
      </c>
      <c r="H58" s="65" t="s">
        <v>2139</v>
      </c>
      <c r="I58" s="106">
        <v>0.16666666666666669</v>
      </c>
      <c r="J58" s="55" t="s">
        <v>138</v>
      </c>
      <c r="K58" s="56">
        <v>42005</v>
      </c>
      <c r="L58" s="56">
        <v>42369</v>
      </c>
      <c r="M58" s="57"/>
      <c r="N58" s="57"/>
      <c r="O58" s="57">
        <v>1</v>
      </c>
      <c r="P58" s="57"/>
      <c r="Q58" s="57"/>
      <c r="R58" s="57">
        <v>1</v>
      </c>
      <c r="S58" s="57"/>
      <c r="T58" s="57"/>
      <c r="U58" s="57">
        <v>1</v>
      </c>
      <c r="V58" s="57"/>
      <c r="W58" s="57"/>
      <c r="X58" s="57">
        <v>1</v>
      </c>
      <c r="Y58" s="109">
        <v>4</v>
      </c>
      <c r="Z58" s="75">
        <v>0</v>
      </c>
      <c r="AA58" s="209" t="s">
        <v>1090</v>
      </c>
      <c r="AB58" s="1292">
        <f t="shared" si="43"/>
        <v>0</v>
      </c>
      <c r="AC58" s="1311">
        <f t="shared" si="44"/>
        <v>0</v>
      </c>
      <c r="AD58" s="1509">
        <v>0</v>
      </c>
      <c r="AE58" s="1311" t="s">
        <v>1090</v>
      </c>
      <c r="AF58" s="1311">
        <f aca="true" t="shared" si="50" ref="AF58:AF60">AD58/Y58</f>
        <v>0</v>
      </c>
      <c r="AG58" s="1311">
        <f aca="true" t="shared" si="51" ref="AG58:AG62">AF58</f>
        <v>0</v>
      </c>
      <c r="AH58" s="99"/>
      <c r="AI58" s="98"/>
      <c r="AJ58" s="98"/>
      <c r="AK58" s="98"/>
      <c r="AL58" s="98"/>
      <c r="AM58" s="1692">
        <f aca="true" t="shared" si="52" ref="AM58:AM62">SUM(M58:P58)</f>
        <v>1</v>
      </c>
      <c r="AN58" s="1699">
        <f t="shared" si="45"/>
        <v>1</v>
      </c>
      <c r="AO58" s="1697">
        <v>0</v>
      </c>
      <c r="AP58" s="1699">
        <f>AO58/AM58</f>
        <v>0</v>
      </c>
      <c r="AQ58" s="1699">
        <f aca="true" t="shared" si="53" ref="AQ58:AQ60">AO58/Y58</f>
        <v>0</v>
      </c>
      <c r="AR58" s="1699">
        <f t="shared" si="46"/>
        <v>0</v>
      </c>
      <c r="AS58" s="1748">
        <v>0</v>
      </c>
      <c r="AT58" s="1689"/>
      <c r="AU58" s="1691"/>
      <c r="AV58" s="1691" t="s">
        <v>2187</v>
      </c>
      <c r="AW58" s="2080">
        <f t="shared" si="12"/>
        <v>1</v>
      </c>
      <c r="AX58" s="2084">
        <f t="shared" si="47"/>
        <v>1</v>
      </c>
      <c r="AY58" s="2085">
        <f t="shared" si="48"/>
        <v>1</v>
      </c>
      <c r="AZ58" s="2084">
        <v>1</v>
      </c>
      <c r="BA58" s="2085">
        <f aca="true" t="shared" si="54" ref="BA58:BA60">AZ58/AX58</f>
        <v>1</v>
      </c>
      <c r="BB58" s="2085">
        <f>AZ58/Y58</f>
        <v>0.25</v>
      </c>
      <c r="BC58" s="2086">
        <f aca="true" t="shared" si="55" ref="BC58:BC60">AW58/Y58</f>
        <v>0.25</v>
      </c>
      <c r="BD58" s="2306">
        <v>0</v>
      </c>
      <c r="BE58" s="625" t="s">
        <v>1090</v>
      </c>
      <c r="BF58" s="1988" t="s">
        <v>2513</v>
      </c>
      <c r="BG58" s="1988"/>
      <c r="BH58" s="2339">
        <f aca="true" t="shared" si="56" ref="BH58:BH62">SUM(M58:T58)</f>
        <v>2</v>
      </c>
      <c r="BI58" s="2373">
        <f t="shared" si="49"/>
        <v>1</v>
      </c>
      <c r="BJ58" s="2339">
        <v>2</v>
      </c>
      <c r="BK58" s="2373">
        <v>1</v>
      </c>
      <c r="BL58" s="2373">
        <v>0.5</v>
      </c>
      <c r="BM58" s="2374">
        <f>BJ58/Y58</f>
        <v>0.5</v>
      </c>
      <c r="BN58" s="2375"/>
      <c r="BO58" s="2378"/>
      <c r="BP58" s="2376" t="s">
        <v>2967</v>
      </c>
      <c r="BQ58" s="2376"/>
    </row>
    <row r="59" spans="1:69" s="49" customFormat="1" ht="40.5" customHeight="1" thickBot="1">
      <c r="A59" s="2672"/>
      <c r="B59" s="2672"/>
      <c r="C59" s="2656" t="s">
        <v>507</v>
      </c>
      <c r="D59" s="103" t="s">
        <v>151</v>
      </c>
      <c r="E59" s="104" t="s">
        <v>152</v>
      </c>
      <c r="F59" s="105">
        <v>12</v>
      </c>
      <c r="G59" s="104" t="s">
        <v>153</v>
      </c>
      <c r="H59" s="65" t="s">
        <v>2139</v>
      </c>
      <c r="I59" s="106">
        <v>0.16666666666666669</v>
      </c>
      <c r="J59" s="42" t="s">
        <v>154</v>
      </c>
      <c r="K59" s="43">
        <v>42006</v>
      </c>
      <c r="L59" s="43">
        <v>42369</v>
      </c>
      <c r="M59" s="44">
        <v>1</v>
      </c>
      <c r="N59" s="44">
        <v>1</v>
      </c>
      <c r="O59" s="44">
        <v>1</v>
      </c>
      <c r="P59" s="44">
        <v>1</v>
      </c>
      <c r="Q59" s="44">
        <v>1</v>
      </c>
      <c r="R59" s="44">
        <v>1</v>
      </c>
      <c r="S59" s="44">
        <v>1</v>
      </c>
      <c r="T59" s="44">
        <v>1</v>
      </c>
      <c r="U59" s="44">
        <v>1</v>
      </c>
      <c r="V59" s="44">
        <v>1</v>
      </c>
      <c r="W59" s="44">
        <v>1</v>
      </c>
      <c r="X59" s="44">
        <v>1</v>
      </c>
      <c r="Y59" s="45">
        <v>12</v>
      </c>
      <c r="Z59" s="75">
        <v>0</v>
      </c>
      <c r="AA59" s="209" t="s">
        <v>1090</v>
      </c>
      <c r="AB59" s="1292">
        <f t="shared" si="43"/>
        <v>2</v>
      </c>
      <c r="AC59" s="1311">
        <f t="shared" si="44"/>
        <v>1</v>
      </c>
      <c r="AD59" s="1509">
        <v>2</v>
      </c>
      <c r="AE59" s="1311">
        <f aca="true" t="shared" si="57" ref="AE59:AE60">AD59/AB59</f>
        <v>1</v>
      </c>
      <c r="AF59" s="1311">
        <f t="shared" si="50"/>
        <v>0.16666666666666666</v>
      </c>
      <c r="AG59" s="1311">
        <f t="shared" si="51"/>
        <v>0.16666666666666666</v>
      </c>
      <c r="AH59" s="99">
        <v>1</v>
      </c>
      <c r="AI59" s="1374" t="s">
        <v>1977</v>
      </c>
      <c r="AJ59" s="1375" t="s">
        <v>1977</v>
      </c>
      <c r="AK59" s="1376" t="s">
        <v>1980</v>
      </c>
      <c r="AL59" s="1377" t="s">
        <v>1770</v>
      </c>
      <c r="AM59" s="1692">
        <f t="shared" si="52"/>
        <v>4</v>
      </c>
      <c r="AN59" s="1699">
        <f t="shared" si="45"/>
        <v>1</v>
      </c>
      <c r="AO59" s="1697">
        <v>1</v>
      </c>
      <c r="AP59" s="1699">
        <f aca="true" t="shared" si="58" ref="AP59:AP60">AO59/AM59</f>
        <v>0.25</v>
      </c>
      <c r="AQ59" s="1699">
        <f t="shared" si="53"/>
        <v>0.08333333333333333</v>
      </c>
      <c r="AR59" s="1699">
        <f t="shared" si="46"/>
        <v>0.25</v>
      </c>
      <c r="AS59" s="1748">
        <v>0</v>
      </c>
      <c r="AT59" s="1689"/>
      <c r="AU59" s="1691"/>
      <c r="AV59" s="1691" t="s">
        <v>2188</v>
      </c>
      <c r="AW59" s="2080">
        <f t="shared" si="12"/>
        <v>5</v>
      </c>
      <c r="AX59" s="2084">
        <f t="shared" si="47"/>
        <v>2</v>
      </c>
      <c r="AY59" s="2085">
        <f t="shared" si="48"/>
        <v>1</v>
      </c>
      <c r="AZ59" s="2084">
        <v>2</v>
      </c>
      <c r="BA59" s="2085">
        <f t="shared" si="54"/>
        <v>1</v>
      </c>
      <c r="BB59" s="2085">
        <f>AZ59/Y59</f>
        <v>0.16666666666666666</v>
      </c>
      <c r="BC59" s="2086">
        <f t="shared" si="55"/>
        <v>0.4166666666666667</v>
      </c>
      <c r="BD59" s="2306">
        <v>0</v>
      </c>
      <c r="BE59" s="625" t="s">
        <v>1090</v>
      </c>
      <c r="BF59" s="1988" t="s">
        <v>2514</v>
      </c>
      <c r="BG59" s="1988"/>
      <c r="BH59" s="2339">
        <f t="shared" si="56"/>
        <v>8</v>
      </c>
      <c r="BI59" s="2373">
        <f t="shared" si="49"/>
        <v>1</v>
      </c>
      <c r="BJ59" s="2339">
        <v>8</v>
      </c>
      <c r="BK59" s="2373">
        <v>1</v>
      </c>
      <c r="BL59" s="2373">
        <v>0.6666666666666666</v>
      </c>
      <c r="BM59" s="2374">
        <f>BJ59/Y59</f>
        <v>0.6666666666666666</v>
      </c>
      <c r="BN59" s="2375"/>
      <c r="BO59" s="2378"/>
      <c r="BP59" s="2376" t="s">
        <v>2968</v>
      </c>
      <c r="BQ59" s="2376"/>
    </row>
    <row r="60" spans="1:69" s="49" customFormat="1" ht="51.75" thickBot="1">
      <c r="A60" s="2672"/>
      <c r="B60" s="2672"/>
      <c r="C60" s="2657"/>
      <c r="D60" s="107" t="s">
        <v>155</v>
      </c>
      <c r="E60" s="108" t="s">
        <v>152</v>
      </c>
      <c r="F60" s="102">
        <v>12</v>
      </c>
      <c r="G60" s="78" t="s">
        <v>153</v>
      </c>
      <c r="H60" s="65" t="s">
        <v>2139</v>
      </c>
      <c r="I60" s="106">
        <v>0.16666666666666669</v>
      </c>
      <c r="J60" s="55" t="s">
        <v>154</v>
      </c>
      <c r="K60" s="56">
        <v>42006</v>
      </c>
      <c r="L60" s="56">
        <v>42369</v>
      </c>
      <c r="M60" s="57">
        <v>1</v>
      </c>
      <c r="N60" s="57">
        <v>1</v>
      </c>
      <c r="O60" s="57">
        <v>1</v>
      </c>
      <c r="P60" s="57">
        <v>1</v>
      </c>
      <c r="Q60" s="57">
        <v>1</v>
      </c>
      <c r="R60" s="57">
        <v>1</v>
      </c>
      <c r="S60" s="57">
        <v>1</v>
      </c>
      <c r="T60" s="57">
        <v>1</v>
      </c>
      <c r="U60" s="57">
        <v>1</v>
      </c>
      <c r="V60" s="57">
        <v>1</v>
      </c>
      <c r="W60" s="57">
        <v>1</v>
      </c>
      <c r="X60" s="57">
        <v>1</v>
      </c>
      <c r="Y60" s="109">
        <v>12</v>
      </c>
      <c r="Z60" s="75">
        <v>0</v>
      </c>
      <c r="AA60" s="209" t="s">
        <v>1090</v>
      </c>
      <c r="AB60" s="1292">
        <f t="shared" si="43"/>
        <v>2</v>
      </c>
      <c r="AC60" s="1311">
        <f t="shared" si="44"/>
        <v>1</v>
      </c>
      <c r="AD60" s="1509">
        <v>2</v>
      </c>
      <c r="AE60" s="1311">
        <f t="shared" si="57"/>
        <v>1</v>
      </c>
      <c r="AF60" s="1311">
        <f t="shared" si="50"/>
        <v>0.16666666666666666</v>
      </c>
      <c r="AG60" s="1311">
        <f t="shared" si="51"/>
        <v>0.16666666666666666</v>
      </c>
      <c r="AH60" s="99">
        <v>1</v>
      </c>
      <c r="AI60" s="1378" t="s">
        <v>1977</v>
      </c>
      <c r="AJ60" s="1378" t="s">
        <v>1977</v>
      </c>
      <c r="AK60" s="1378" t="s">
        <v>1980</v>
      </c>
      <c r="AL60" s="1378" t="s">
        <v>1770</v>
      </c>
      <c r="AM60" s="1692">
        <f t="shared" si="52"/>
        <v>4</v>
      </c>
      <c r="AN60" s="1699">
        <f t="shared" si="45"/>
        <v>1</v>
      </c>
      <c r="AO60" s="1697">
        <v>1</v>
      </c>
      <c r="AP60" s="1699">
        <f t="shared" si="58"/>
        <v>0.25</v>
      </c>
      <c r="AQ60" s="1699">
        <f t="shared" si="53"/>
        <v>0.08333333333333333</v>
      </c>
      <c r="AR60" s="1699">
        <f t="shared" si="46"/>
        <v>0.25</v>
      </c>
      <c r="AS60" s="1748">
        <v>0</v>
      </c>
      <c r="AT60" s="1689"/>
      <c r="AU60" s="1691" t="s">
        <v>2189</v>
      </c>
      <c r="AV60" s="1691" t="s">
        <v>2190</v>
      </c>
      <c r="AW60" s="2080">
        <f t="shared" si="12"/>
        <v>5</v>
      </c>
      <c r="AX60" s="2084">
        <f t="shared" si="47"/>
        <v>2</v>
      </c>
      <c r="AY60" s="2085">
        <f t="shared" si="48"/>
        <v>1</v>
      </c>
      <c r="AZ60" s="2084">
        <v>2</v>
      </c>
      <c r="BA60" s="2085">
        <f t="shared" si="54"/>
        <v>1</v>
      </c>
      <c r="BB60" s="2085">
        <f>AZ60/Y60</f>
        <v>0.16666666666666666</v>
      </c>
      <c r="BC60" s="2086">
        <f t="shared" si="55"/>
        <v>0.4166666666666667</v>
      </c>
      <c r="BD60" s="2306">
        <v>0</v>
      </c>
      <c r="BE60" s="625" t="s">
        <v>1090</v>
      </c>
      <c r="BF60" s="1988" t="s">
        <v>2515</v>
      </c>
      <c r="BG60" s="1988" t="s">
        <v>1090</v>
      </c>
      <c r="BH60" s="2339">
        <f t="shared" si="56"/>
        <v>8</v>
      </c>
      <c r="BI60" s="2373">
        <f t="shared" si="49"/>
        <v>1</v>
      </c>
      <c r="BJ60" s="2339">
        <v>8</v>
      </c>
      <c r="BK60" s="2373">
        <v>1</v>
      </c>
      <c r="BL60" s="2373">
        <v>0.6666666666666666</v>
      </c>
      <c r="BM60" s="2374">
        <f>BJ60/Y60</f>
        <v>0.6666666666666666</v>
      </c>
      <c r="BN60" s="2375"/>
      <c r="BO60" s="2378"/>
      <c r="BP60" s="2376" t="s">
        <v>2515</v>
      </c>
      <c r="BQ60" s="2376" t="s">
        <v>1090</v>
      </c>
    </row>
    <row r="61" spans="1:69" s="49" customFormat="1" ht="87.75" customHeight="1" thickBot="1">
      <c r="A61" s="2672"/>
      <c r="B61" s="2672"/>
      <c r="C61" s="2657"/>
      <c r="D61" s="103" t="s">
        <v>156</v>
      </c>
      <c r="E61" s="38" t="s">
        <v>157</v>
      </c>
      <c r="F61" s="110" t="s">
        <v>140</v>
      </c>
      <c r="G61" s="111" t="s">
        <v>141</v>
      </c>
      <c r="H61" s="65" t="s">
        <v>2139</v>
      </c>
      <c r="I61" s="106">
        <v>0.16666666666666669</v>
      </c>
      <c r="J61" s="112" t="s">
        <v>158</v>
      </c>
      <c r="K61" s="113">
        <v>42006</v>
      </c>
      <c r="L61" s="43">
        <v>42369</v>
      </c>
      <c r="M61" s="44"/>
      <c r="N61" s="44"/>
      <c r="O61" s="44"/>
      <c r="P61" s="44"/>
      <c r="Q61" s="44"/>
      <c r="R61" s="44"/>
      <c r="S61" s="44"/>
      <c r="T61" s="44"/>
      <c r="U61" s="44"/>
      <c r="V61" s="44"/>
      <c r="W61" s="44"/>
      <c r="X61" s="44"/>
      <c r="Y61" s="45" t="s">
        <v>140</v>
      </c>
      <c r="Z61" s="75">
        <v>0</v>
      </c>
      <c r="AA61" s="209" t="s">
        <v>1090</v>
      </c>
      <c r="AB61" s="1292">
        <f t="shared" si="43"/>
        <v>0</v>
      </c>
      <c r="AC61" s="1311">
        <f t="shared" si="44"/>
        <v>0</v>
      </c>
      <c r="AD61" s="1509">
        <v>0</v>
      </c>
      <c r="AE61" s="1311" t="s">
        <v>1090</v>
      </c>
      <c r="AF61" s="1311" t="s">
        <v>1090</v>
      </c>
      <c r="AG61" s="1311" t="str">
        <f t="shared" si="51"/>
        <v>-</v>
      </c>
      <c r="AH61" s="99"/>
      <c r="AI61" s="98"/>
      <c r="AJ61" s="98"/>
      <c r="AK61" s="98"/>
      <c r="AL61" s="98"/>
      <c r="AM61" s="1692">
        <f t="shared" si="52"/>
        <v>0</v>
      </c>
      <c r="AN61" s="1699">
        <f t="shared" si="45"/>
        <v>0</v>
      </c>
      <c r="AO61" s="1697">
        <v>0</v>
      </c>
      <c r="AP61" s="1699" t="s">
        <v>1090</v>
      </c>
      <c r="AQ61" s="1699" t="s">
        <v>1090</v>
      </c>
      <c r="AR61" s="1699" t="str">
        <f t="shared" si="46"/>
        <v>-</v>
      </c>
      <c r="AS61" s="1748">
        <v>0</v>
      </c>
      <c r="AT61" s="1689"/>
      <c r="AU61" s="1691" t="s">
        <v>2191</v>
      </c>
      <c r="AV61" s="1691"/>
      <c r="AW61" s="2080">
        <f t="shared" si="12"/>
        <v>1</v>
      </c>
      <c r="AX61" s="2084">
        <f t="shared" si="47"/>
        <v>0</v>
      </c>
      <c r="AY61" s="2085">
        <f t="shared" si="48"/>
        <v>0</v>
      </c>
      <c r="AZ61" s="2084">
        <v>1</v>
      </c>
      <c r="BA61" s="2085" t="s">
        <v>1090</v>
      </c>
      <c r="BB61" s="2085" t="s">
        <v>1090</v>
      </c>
      <c r="BC61" s="2086" t="s">
        <v>1090</v>
      </c>
      <c r="BD61" s="2306">
        <v>0</v>
      </c>
      <c r="BE61" s="625" t="s">
        <v>1090</v>
      </c>
      <c r="BF61" s="1988" t="s">
        <v>2516</v>
      </c>
      <c r="BG61" s="1988" t="s">
        <v>1090</v>
      </c>
      <c r="BH61" s="2339">
        <f t="shared" si="56"/>
        <v>0</v>
      </c>
      <c r="BI61" s="2373">
        <f t="shared" si="49"/>
        <v>0</v>
      </c>
      <c r="BJ61" s="2339">
        <v>1</v>
      </c>
      <c r="BK61" s="2373" t="s">
        <v>1090</v>
      </c>
      <c r="BL61" s="2373" t="s">
        <v>1090</v>
      </c>
      <c r="BM61" s="2374" t="s">
        <v>1090</v>
      </c>
      <c r="BN61" s="2375"/>
      <c r="BO61" s="2378"/>
      <c r="BP61" s="2376" t="s">
        <v>2969</v>
      </c>
      <c r="BQ61" s="2376" t="s">
        <v>1090</v>
      </c>
    </row>
    <row r="62" spans="1:69" s="49" customFormat="1" ht="59.25" customHeight="1" thickBot="1">
      <c r="A62" s="2672"/>
      <c r="B62" s="2672"/>
      <c r="C62" s="2664"/>
      <c r="D62" s="107" t="s">
        <v>147</v>
      </c>
      <c r="E62" s="52" t="s">
        <v>148</v>
      </c>
      <c r="F62" s="52" t="s">
        <v>149</v>
      </c>
      <c r="G62" s="78" t="s">
        <v>150</v>
      </c>
      <c r="H62" s="65" t="s">
        <v>2139</v>
      </c>
      <c r="I62" s="106">
        <v>0.16666666666666669</v>
      </c>
      <c r="J62" s="55" t="s">
        <v>148</v>
      </c>
      <c r="K62" s="56">
        <v>42006</v>
      </c>
      <c r="L62" s="56">
        <v>42369</v>
      </c>
      <c r="M62" s="57"/>
      <c r="N62" s="57"/>
      <c r="O62" s="57"/>
      <c r="P62" s="57"/>
      <c r="Q62" s="57"/>
      <c r="R62" s="57"/>
      <c r="S62" s="57"/>
      <c r="T62" s="57"/>
      <c r="U62" s="57"/>
      <c r="V62" s="57"/>
      <c r="W62" s="57"/>
      <c r="X62" s="57"/>
      <c r="Y62" s="109" t="s">
        <v>149</v>
      </c>
      <c r="Z62" s="75">
        <v>0</v>
      </c>
      <c r="AA62" s="209" t="s">
        <v>1090</v>
      </c>
      <c r="AB62" s="1292">
        <f t="shared" si="43"/>
        <v>0</v>
      </c>
      <c r="AC62" s="1311">
        <f t="shared" si="44"/>
        <v>0</v>
      </c>
      <c r="AD62" s="1509">
        <v>0</v>
      </c>
      <c r="AE62" s="1311" t="s">
        <v>1090</v>
      </c>
      <c r="AF62" s="1311" t="s">
        <v>1090</v>
      </c>
      <c r="AG62" s="1311" t="str">
        <f t="shared" si="51"/>
        <v>-</v>
      </c>
      <c r="AH62" s="99"/>
      <c r="AI62" s="98"/>
      <c r="AJ62" s="98"/>
      <c r="AK62" s="98"/>
      <c r="AL62" s="98"/>
      <c r="AM62" s="1692">
        <f t="shared" si="52"/>
        <v>0</v>
      </c>
      <c r="AN62" s="1699">
        <f t="shared" si="45"/>
        <v>0</v>
      </c>
      <c r="AO62" s="1697">
        <v>0</v>
      </c>
      <c r="AP62" s="1699" t="s">
        <v>1090</v>
      </c>
      <c r="AQ62" s="1699" t="s">
        <v>1090</v>
      </c>
      <c r="AR62" s="1699" t="str">
        <f t="shared" si="46"/>
        <v>-</v>
      </c>
      <c r="AS62" s="1748">
        <v>0</v>
      </c>
      <c r="AT62" s="1689"/>
      <c r="AU62" s="1691" t="s">
        <v>2192</v>
      </c>
      <c r="AV62" s="1691"/>
      <c r="AW62" s="2080">
        <f t="shared" si="12"/>
        <v>1</v>
      </c>
      <c r="AX62" s="2084">
        <f t="shared" si="47"/>
        <v>0</v>
      </c>
      <c r="AY62" s="2085">
        <f t="shared" si="48"/>
        <v>0</v>
      </c>
      <c r="AZ62" s="2084">
        <v>1</v>
      </c>
      <c r="BA62" s="2085" t="s">
        <v>1090</v>
      </c>
      <c r="BB62" s="2085" t="s">
        <v>1090</v>
      </c>
      <c r="BC62" s="2086" t="s">
        <v>1090</v>
      </c>
      <c r="BD62" s="2306">
        <v>0</v>
      </c>
      <c r="BE62" s="625" t="s">
        <v>1090</v>
      </c>
      <c r="BF62" s="1988" t="s">
        <v>2517</v>
      </c>
      <c r="BG62" s="1988"/>
      <c r="BH62" s="2339">
        <f t="shared" si="56"/>
        <v>0</v>
      </c>
      <c r="BI62" s="2373">
        <f t="shared" si="49"/>
        <v>0</v>
      </c>
      <c r="BJ62" s="2339">
        <v>1</v>
      </c>
      <c r="BK62" s="2373" t="s">
        <v>1090</v>
      </c>
      <c r="BL62" s="2373" t="s">
        <v>1090</v>
      </c>
      <c r="BM62" s="2374" t="s">
        <v>1090</v>
      </c>
      <c r="BN62" s="2375"/>
      <c r="BO62" s="2378"/>
      <c r="BP62" s="2376" t="s">
        <v>2970</v>
      </c>
      <c r="BQ62" s="2376"/>
    </row>
    <row r="63" spans="1:69" s="34" customFormat="1" ht="20.1" customHeight="1" thickBot="1">
      <c r="A63" s="2652" t="s">
        <v>130</v>
      </c>
      <c r="B63" s="2653"/>
      <c r="C63" s="2653"/>
      <c r="D63" s="2654"/>
      <c r="E63" s="470"/>
      <c r="F63" s="470"/>
      <c r="G63" s="470"/>
      <c r="H63" s="266"/>
      <c r="I63" s="86">
        <f>+SUM(I57:I62)</f>
        <v>1.0000000000000002</v>
      </c>
      <c r="J63" s="470"/>
      <c r="K63" s="470"/>
      <c r="L63" s="470"/>
      <c r="M63" s="470"/>
      <c r="N63" s="470"/>
      <c r="O63" s="470"/>
      <c r="P63" s="470"/>
      <c r="Q63" s="470"/>
      <c r="R63" s="470"/>
      <c r="S63" s="470"/>
      <c r="T63" s="470"/>
      <c r="U63" s="470"/>
      <c r="V63" s="470"/>
      <c r="W63" s="470"/>
      <c r="X63" s="470"/>
      <c r="Y63" s="87"/>
      <c r="Z63" s="218">
        <f>SUM(Z57:Z62)</f>
        <v>0</v>
      </c>
      <c r="AA63" s="471"/>
      <c r="AB63" s="1521"/>
      <c r="AC63" s="1522">
        <f>AVERAGEIF(AC57:AC62,"&gt;0")</f>
        <v>1</v>
      </c>
      <c r="AD63" s="1523"/>
      <c r="AE63" s="1522">
        <f>AVERAGE(AE57:AE62)</f>
        <v>1</v>
      </c>
      <c r="AF63" s="1522"/>
      <c r="AG63" s="1522">
        <f>AVERAGE(AG57:AG62)</f>
        <v>0.1111111111111111</v>
      </c>
      <c r="AH63" s="1521"/>
      <c r="AI63" s="1211"/>
      <c r="AJ63" s="1211"/>
      <c r="AK63" s="1211"/>
      <c r="AL63" s="1211"/>
      <c r="AM63" s="1850"/>
      <c r="AN63" s="1851">
        <v>1</v>
      </c>
      <c r="AO63" s="1851"/>
      <c r="AP63" s="1851">
        <f>AVERAGE(AP58:AP62)</f>
        <v>0.16666666666666666</v>
      </c>
      <c r="AQ63" s="1851"/>
      <c r="AR63" s="1852">
        <f>AVERAGE(AR57:AR62)</f>
        <v>0.16666666666666666</v>
      </c>
      <c r="AS63" s="1850"/>
      <c r="AT63" s="1850"/>
      <c r="AU63" s="1850"/>
      <c r="AV63" s="1850"/>
      <c r="AW63" s="2080">
        <f t="shared" si="12"/>
        <v>0</v>
      </c>
      <c r="AX63" s="636"/>
      <c r="AY63" s="1721">
        <v>1</v>
      </c>
      <c r="AZ63" s="636"/>
      <c r="BA63" s="1261">
        <f>AVERAGE(BA57:BA62)</f>
        <v>1</v>
      </c>
      <c r="BB63" s="636"/>
      <c r="BC63" s="1722">
        <f>AVERAGE(BC58:BC62)</f>
        <v>0.36111111111111116</v>
      </c>
      <c r="BD63" s="636"/>
      <c r="BE63" s="636"/>
      <c r="BF63" s="1325"/>
      <c r="BG63" s="1325"/>
      <c r="BH63" s="636"/>
      <c r="BI63" s="1721">
        <v>1</v>
      </c>
      <c r="BJ63" s="636"/>
      <c r="BK63" s="1261">
        <f>AVERAGE(BK57:BK62)</f>
        <v>1</v>
      </c>
      <c r="BL63" s="636"/>
      <c r="BM63" s="1722">
        <f>AVERAGE(BM57:BM62)</f>
        <v>0.611111111111111</v>
      </c>
      <c r="BN63" s="636"/>
      <c r="BO63" s="636"/>
      <c r="BP63" s="1325"/>
      <c r="BQ63" s="1325"/>
    </row>
    <row r="64" spans="1:69" s="49" customFormat="1" ht="63" customHeight="1" thickBot="1">
      <c r="A64" s="475">
        <v>2</v>
      </c>
      <c r="B64" s="475" t="s">
        <v>228</v>
      </c>
      <c r="C64" s="474" t="s">
        <v>237</v>
      </c>
      <c r="D64" s="385" t="s">
        <v>545</v>
      </c>
      <c r="E64" s="142" t="s">
        <v>148</v>
      </c>
      <c r="F64" s="52" t="s">
        <v>149</v>
      </c>
      <c r="G64" s="77" t="s">
        <v>150</v>
      </c>
      <c r="H64" s="65" t="s">
        <v>2139</v>
      </c>
      <c r="I64" s="386">
        <v>1</v>
      </c>
      <c r="J64" s="144" t="s">
        <v>260</v>
      </c>
      <c r="K64" s="145">
        <v>42006</v>
      </c>
      <c r="L64" s="145">
        <v>42369</v>
      </c>
      <c r="M64" s="146"/>
      <c r="N64" s="146"/>
      <c r="O64" s="146"/>
      <c r="P64" s="146"/>
      <c r="Q64" s="146"/>
      <c r="R64" s="146"/>
      <c r="S64" s="146"/>
      <c r="T64" s="146"/>
      <c r="U64" s="147"/>
      <c r="V64" s="147"/>
      <c r="W64" s="147"/>
      <c r="X64" s="147"/>
      <c r="Y64" s="121" t="s">
        <v>149</v>
      </c>
      <c r="Z64" s="96">
        <v>0</v>
      </c>
      <c r="AA64" s="148" t="s">
        <v>1090</v>
      </c>
      <c r="AB64" s="1292">
        <f t="shared" si="43"/>
        <v>0</v>
      </c>
      <c r="AC64" s="1311">
        <f t="shared" si="44"/>
        <v>0</v>
      </c>
      <c r="AD64" s="1509">
        <v>0</v>
      </c>
      <c r="AE64" s="1311" t="s">
        <v>1090</v>
      </c>
      <c r="AF64" s="1311" t="s">
        <v>1090</v>
      </c>
      <c r="AG64" s="1311" t="str">
        <f>AF64</f>
        <v>-</v>
      </c>
      <c r="AH64" s="149"/>
      <c r="AI64" s="98"/>
      <c r="AJ64" s="98"/>
      <c r="AK64" s="98"/>
      <c r="AL64" s="98"/>
      <c r="AM64" s="1692">
        <f>SUM(M64:P64)</f>
        <v>0</v>
      </c>
      <c r="AN64" s="1699">
        <f t="shared" si="45"/>
        <v>0</v>
      </c>
      <c r="AO64" s="1696">
        <v>0</v>
      </c>
      <c r="AP64" s="1699" t="s">
        <v>1090</v>
      </c>
      <c r="AQ64" s="1699" t="s">
        <v>1090</v>
      </c>
      <c r="AR64" s="1699" t="str">
        <f t="shared" si="46"/>
        <v>-</v>
      </c>
      <c r="AS64" s="1748">
        <v>0</v>
      </c>
      <c r="AT64" s="1689"/>
      <c r="AU64" s="1691" t="s">
        <v>2192</v>
      </c>
      <c r="AV64" s="1689"/>
      <c r="AW64" s="2080">
        <f t="shared" si="12"/>
        <v>1</v>
      </c>
      <c r="AX64" s="2084">
        <f>SUM(Q64:R64)</f>
        <v>0</v>
      </c>
      <c r="AY64" s="2085">
        <f t="shared" si="48"/>
        <v>0</v>
      </c>
      <c r="AZ64" s="2084">
        <v>1</v>
      </c>
      <c r="BA64" s="2085" t="s">
        <v>1090</v>
      </c>
      <c r="BB64" s="2085" t="s">
        <v>1090</v>
      </c>
      <c r="BC64" s="2086" t="s">
        <v>1090</v>
      </c>
      <c r="BD64" s="2306">
        <v>0</v>
      </c>
      <c r="BE64" s="625" t="s">
        <v>1090</v>
      </c>
      <c r="BF64" s="1988" t="s">
        <v>2517</v>
      </c>
      <c r="BG64" s="1988"/>
      <c r="BH64" s="2339">
        <f>SUM(M64:T64)</f>
        <v>0</v>
      </c>
      <c r="BI64" s="2373">
        <f t="shared" si="49"/>
        <v>0</v>
      </c>
      <c r="BJ64" s="2339">
        <v>1</v>
      </c>
      <c r="BK64" s="2373" t="s">
        <v>1090</v>
      </c>
      <c r="BL64" s="2373" t="s">
        <v>1090</v>
      </c>
      <c r="BM64" s="2374" t="s">
        <v>1090</v>
      </c>
      <c r="BN64" s="2375"/>
      <c r="BO64" s="2378"/>
      <c r="BP64" s="2376" t="s">
        <v>2970</v>
      </c>
      <c r="BQ64" s="2376"/>
    </row>
    <row r="65" spans="1:69" s="34" customFormat="1" ht="20.1" customHeight="1" thickBot="1">
      <c r="A65" s="2652" t="s">
        <v>130</v>
      </c>
      <c r="B65" s="2653"/>
      <c r="C65" s="2653"/>
      <c r="D65" s="2654"/>
      <c r="E65" s="470"/>
      <c r="F65" s="470"/>
      <c r="G65" s="470"/>
      <c r="H65" s="470"/>
      <c r="I65" s="86">
        <f>+I64</f>
        <v>1</v>
      </c>
      <c r="J65" s="470"/>
      <c r="K65" s="470"/>
      <c r="L65" s="470"/>
      <c r="M65" s="470"/>
      <c r="N65" s="470"/>
      <c r="O65" s="470"/>
      <c r="P65" s="470"/>
      <c r="Q65" s="470"/>
      <c r="R65" s="470"/>
      <c r="S65" s="470"/>
      <c r="T65" s="470"/>
      <c r="U65" s="470"/>
      <c r="V65" s="470"/>
      <c r="W65" s="470"/>
      <c r="X65" s="470"/>
      <c r="Y65" s="87"/>
      <c r="Z65" s="88">
        <f>SUM(Z64:Z64)</f>
        <v>0</v>
      </c>
      <c r="AA65" s="471"/>
      <c r="AB65" s="1493"/>
      <c r="AC65" s="1494" t="s">
        <v>1090</v>
      </c>
      <c r="AD65" s="1511"/>
      <c r="AE65" s="1494" t="s">
        <v>1090</v>
      </c>
      <c r="AF65" s="1494"/>
      <c r="AG65" s="1494" t="s">
        <v>1090</v>
      </c>
      <c r="AH65" s="1495"/>
      <c r="AI65" s="91"/>
      <c r="AJ65" s="91"/>
      <c r="AK65" s="91"/>
      <c r="AL65" s="91"/>
      <c r="AM65" s="1850"/>
      <c r="AN65" s="1851">
        <v>1</v>
      </c>
      <c r="AO65" s="1851"/>
      <c r="AP65" s="1851" t="s">
        <v>1090</v>
      </c>
      <c r="AQ65" s="1851"/>
      <c r="AR65" s="1851" t="s">
        <v>1090</v>
      </c>
      <c r="AS65" s="1850"/>
      <c r="AT65" s="1850"/>
      <c r="AU65" s="1850"/>
      <c r="AV65" s="1850"/>
      <c r="AW65" s="2080">
        <f t="shared" si="12"/>
        <v>0</v>
      </c>
      <c r="AX65" s="92"/>
      <c r="AY65" s="1875">
        <v>1</v>
      </c>
      <c r="AZ65" s="92"/>
      <c r="BA65" s="92" t="s">
        <v>1090</v>
      </c>
      <c r="BB65" s="92"/>
      <c r="BC65" s="92" t="s">
        <v>1090</v>
      </c>
      <c r="BD65" s="92"/>
      <c r="BE65" s="1325"/>
      <c r="BF65" s="1325"/>
      <c r="BG65" s="1325"/>
      <c r="BH65" s="1325"/>
      <c r="BI65" s="1721">
        <v>1</v>
      </c>
      <c r="BJ65" s="1325"/>
      <c r="BK65" s="1325" t="s">
        <v>1090</v>
      </c>
      <c r="BL65" s="1325" t="s">
        <v>1607</v>
      </c>
      <c r="BM65" s="1325" t="s">
        <v>1090</v>
      </c>
      <c r="BN65" s="1325"/>
      <c r="BO65" s="1325"/>
      <c r="BP65" s="1325"/>
      <c r="BQ65" s="1325"/>
    </row>
    <row r="66" spans="1:69" s="34" customFormat="1" ht="20.1" customHeight="1" thickBot="1">
      <c r="A66" s="2660" t="s">
        <v>290</v>
      </c>
      <c r="B66" s="2661"/>
      <c r="C66" s="2661"/>
      <c r="D66" s="2661"/>
      <c r="E66" s="472"/>
      <c r="F66" s="473"/>
      <c r="G66" s="473"/>
      <c r="H66" s="473"/>
      <c r="I66" s="305">
        <f>AVERAGE(I65,I63)</f>
        <v>1</v>
      </c>
      <c r="J66" s="473"/>
      <c r="K66" s="473"/>
      <c r="L66" s="473"/>
      <c r="M66" s="473"/>
      <c r="N66" s="473"/>
      <c r="O66" s="473"/>
      <c r="P66" s="473"/>
      <c r="Q66" s="473"/>
      <c r="R66" s="473"/>
      <c r="S66" s="473"/>
      <c r="T66" s="473"/>
      <c r="U66" s="473"/>
      <c r="V66" s="473"/>
      <c r="W66" s="473"/>
      <c r="X66" s="160"/>
      <c r="Y66" s="160"/>
      <c r="Z66" s="161">
        <f>SUM(Z65,Z63)</f>
        <v>0</v>
      </c>
      <c r="AA66" s="162"/>
      <c r="AB66" s="1524"/>
      <c r="AC66" s="1525">
        <f>AVERAGE(AC65,AC63)</f>
        <v>1</v>
      </c>
      <c r="AD66" s="1526"/>
      <c r="AE66" s="1525">
        <f>AVERAGE(AE65,AE63)</f>
        <v>1</v>
      </c>
      <c r="AF66" s="1525"/>
      <c r="AG66" s="1525">
        <f>AVERAGE(AG65,AG63)</f>
        <v>0.1111111111111111</v>
      </c>
      <c r="AH66" s="1527"/>
      <c r="AI66" s="163"/>
      <c r="AJ66" s="163"/>
      <c r="AK66" s="163"/>
      <c r="AL66" s="163"/>
      <c r="AM66" s="163"/>
      <c r="AN66" s="306">
        <f>AVERAGE(AN65,AN63)</f>
        <v>1</v>
      </c>
      <c r="AO66" s="163"/>
      <c r="AP66" s="306">
        <f>AVERAGE(AP65,AP63)</f>
        <v>0.16666666666666666</v>
      </c>
      <c r="AQ66" s="1329"/>
      <c r="AR66" s="306">
        <f>AVERAGE(AR65,AR63)</f>
        <v>0.16666666666666666</v>
      </c>
      <c r="AS66" s="163"/>
      <c r="AT66" s="163"/>
      <c r="AU66" s="163"/>
      <c r="AV66" s="163"/>
      <c r="AW66" s="2080">
        <f t="shared" si="12"/>
        <v>0</v>
      </c>
      <c r="AX66" s="163"/>
      <c r="AY66" s="1309">
        <v>1</v>
      </c>
      <c r="AZ66" s="163"/>
      <c r="BA66" s="1279">
        <f>AVERAGE(BA65,BA63)</f>
        <v>1</v>
      </c>
      <c r="BB66" s="163"/>
      <c r="BC66" s="1279">
        <f>AVERAGE(BC65,BC63)</f>
        <v>0.36111111111111116</v>
      </c>
      <c r="BD66" s="163"/>
      <c r="BE66" s="1329"/>
      <c r="BF66" s="1329"/>
      <c r="BG66" s="1329"/>
      <c r="BH66" s="1329"/>
      <c r="BI66" s="1279">
        <v>1</v>
      </c>
      <c r="BJ66" s="1329"/>
      <c r="BK66" s="1279">
        <f>AVERAGE(BK65,BK63)</f>
        <v>1</v>
      </c>
      <c r="BL66" s="1329"/>
      <c r="BM66" s="1279">
        <f>AVERAGE(BM65,BM63)</f>
        <v>0.611111111111111</v>
      </c>
      <c r="BN66" s="1329"/>
      <c r="BO66" s="1329"/>
      <c r="BP66" s="1329"/>
      <c r="BQ66" s="1329"/>
    </row>
    <row r="67" spans="1:69" s="3" customFormat="1" ht="20.1" customHeight="1" thickBot="1">
      <c r="A67" s="164"/>
      <c r="B67" s="165"/>
      <c r="C67" s="166"/>
      <c r="D67" s="166"/>
      <c r="E67" s="166"/>
      <c r="F67" s="267"/>
      <c r="G67" s="166"/>
      <c r="H67" s="166"/>
      <c r="I67" s="559"/>
      <c r="J67" s="166"/>
      <c r="K67" s="269"/>
      <c r="L67" s="269"/>
      <c r="M67" s="166"/>
      <c r="N67" s="166"/>
      <c r="O67" s="166"/>
      <c r="P67" s="166"/>
      <c r="Q67" s="166"/>
      <c r="R67" s="166"/>
      <c r="S67" s="166"/>
      <c r="T67" s="166"/>
      <c r="U67" s="166"/>
      <c r="V67" s="166"/>
      <c r="W67" s="166"/>
      <c r="X67" s="270"/>
      <c r="Y67" s="270"/>
      <c r="Z67" s="307">
        <f>SUM(Z29,Z52,Z66)</f>
        <v>8105053333</v>
      </c>
      <c r="AA67" s="166"/>
      <c r="AB67" s="1528"/>
      <c r="AC67" s="1529" t="e">
        <f>AVERAGE(AC66,AC52,AC29)</f>
        <v>#DIV/0!</v>
      </c>
      <c r="AD67" s="1530"/>
      <c r="AE67" s="1529" t="e">
        <f>AVERAGE(AE66,AE52,AE29)</f>
        <v>#DIV/0!</v>
      </c>
      <c r="AF67" s="1529"/>
      <c r="AG67" s="1529" t="e">
        <f>AVERAGE(AG66,AG52,AG29)</f>
        <v>#VALUE!</v>
      </c>
      <c r="AH67" s="173"/>
      <c r="AI67" s="173"/>
      <c r="AJ67" s="173"/>
      <c r="AK67" s="173"/>
      <c r="AL67" s="173"/>
      <c r="AM67" s="1886"/>
      <c r="AN67" s="1885">
        <f>AVERAGE(AN66,AN52,AN29)</f>
        <v>1</v>
      </c>
      <c r="AO67" s="1886"/>
      <c r="AP67" s="1885">
        <f>AVERAGE(AP66,AP52,AP29)</f>
        <v>0.4583333333333333</v>
      </c>
      <c r="AQ67" s="1886"/>
      <c r="AR67" s="1885">
        <f>AVERAGE(AR66,AR52,AR29)</f>
        <v>0.07118055555555555</v>
      </c>
      <c r="AS67" s="1886"/>
      <c r="AT67" s="1886"/>
      <c r="AU67" s="173"/>
      <c r="AV67" s="173"/>
      <c r="AW67" s="2080">
        <f t="shared" si="12"/>
        <v>0</v>
      </c>
      <c r="AX67" s="173"/>
      <c r="AY67" s="2192">
        <v>1</v>
      </c>
      <c r="AZ67" s="2088"/>
      <c r="BA67" s="2087">
        <f>AVERAGE(BA66,BA52,BA29)</f>
        <v>1</v>
      </c>
      <c r="BB67" s="2088"/>
      <c r="BC67" s="2087">
        <f>AVERAGE(BC66,BC52,BC29)</f>
        <v>0.26273148148148145</v>
      </c>
      <c r="BD67" s="173"/>
      <c r="BE67" s="1330"/>
      <c r="BF67" s="1330"/>
      <c r="BG67" s="1330"/>
      <c r="BH67" s="1330"/>
      <c r="BI67" s="1529">
        <v>1</v>
      </c>
      <c r="BJ67" s="1547"/>
      <c r="BK67" s="1548">
        <f>AVERAGE(BK66,BK52,BK29)</f>
        <v>0.6944444444444443</v>
      </c>
      <c r="BL67" s="1547"/>
      <c r="BM67" s="1548">
        <f>AVERAGE(BM66,BM52,BM29)</f>
        <v>0.31481481481481477</v>
      </c>
      <c r="BN67" s="1330"/>
      <c r="BO67" s="1330"/>
      <c r="BP67" s="1330"/>
      <c r="BQ67" s="1330"/>
    </row>
  </sheetData>
  <mergeCells count="71">
    <mergeCell ref="BH5:BQ9"/>
    <mergeCell ref="BH11:BQ11"/>
    <mergeCell ref="BH13:BQ13"/>
    <mergeCell ref="BH31:BQ31"/>
    <mergeCell ref="BH54:BQ54"/>
    <mergeCell ref="A66:D66"/>
    <mergeCell ref="A57:A62"/>
    <mergeCell ref="B57:B62"/>
    <mergeCell ref="C57:C58"/>
    <mergeCell ref="C59:C62"/>
    <mergeCell ref="A63:D63"/>
    <mergeCell ref="A65:D65"/>
    <mergeCell ref="AM54:AV54"/>
    <mergeCell ref="A55:AA55"/>
    <mergeCell ref="A51:D51"/>
    <mergeCell ref="A52:D52"/>
    <mergeCell ref="A53:AA53"/>
    <mergeCell ref="A54:D54"/>
    <mergeCell ref="E54:AA54"/>
    <mergeCell ref="AB54:AL54"/>
    <mergeCell ref="A43:D43"/>
    <mergeCell ref="A44:A50"/>
    <mergeCell ref="B44:B50"/>
    <mergeCell ref="C44:C47"/>
    <mergeCell ref="C48:C50"/>
    <mergeCell ref="A41:D41"/>
    <mergeCell ref="AM31:AV31"/>
    <mergeCell ref="A35:D35"/>
    <mergeCell ref="A36:A40"/>
    <mergeCell ref="B36:B40"/>
    <mergeCell ref="C36:C37"/>
    <mergeCell ref="C38:C40"/>
    <mergeCell ref="A29:D29"/>
    <mergeCell ref="A30:AA30"/>
    <mergeCell ref="A31:D31"/>
    <mergeCell ref="E31:AA31"/>
    <mergeCell ref="AB31:AL31"/>
    <mergeCell ref="A13:D13"/>
    <mergeCell ref="E13:AA13"/>
    <mergeCell ref="AB13:AL13"/>
    <mergeCell ref="AM13:AV13"/>
    <mergeCell ref="A28:D28"/>
    <mergeCell ref="A16:A19"/>
    <mergeCell ref="B16:B19"/>
    <mergeCell ref="C18:C19"/>
    <mergeCell ref="A20:D20"/>
    <mergeCell ref="A21:A25"/>
    <mergeCell ref="B21:B25"/>
    <mergeCell ref="C22:C24"/>
    <mergeCell ref="A26:D26"/>
    <mergeCell ref="AM11:AV11"/>
    <mergeCell ref="A9:AA9"/>
    <mergeCell ref="A11:D11"/>
    <mergeCell ref="E11:AA11"/>
    <mergeCell ref="AB11:AL11"/>
    <mergeCell ref="AX54:BG54"/>
    <mergeCell ref="AX11:BG11"/>
    <mergeCell ref="AX13:BG13"/>
    <mergeCell ref="AX31:BG31"/>
    <mergeCell ref="A1:C4"/>
    <mergeCell ref="D1:BD2"/>
    <mergeCell ref="D3:BD4"/>
    <mergeCell ref="AX5:BG9"/>
    <mergeCell ref="A5:AA5"/>
    <mergeCell ref="AB5:AL6"/>
    <mergeCell ref="AM5:AV6"/>
    <mergeCell ref="A8:AA8"/>
    <mergeCell ref="A6:AA6"/>
    <mergeCell ref="A7:AA7"/>
    <mergeCell ref="AB7:AL9"/>
    <mergeCell ref="AM7:AV9"/>
  </mergeCells>
  <printOptions/>
  <pageMargins left="0.7" right="0.7" top="0.75" bottom="0.75" header="0.3" footer="0.3"/>
  <pageSetup horizontalDpi="600" verticalDpi="600" orientation="portrait" r:id="rId2"/>
  <ignoredErrors>
    <ignoredError sqref="AM16 AM17:AM19 AM21:AM25 AM27 AM34 AM36:AM40 AM42 AM44:AM50 AM57:AM62 AM64" formulaRange="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CB114"/>
  <sheetViews>
    <sheetView zoomScale="70" zoomScaleNormal="70" workbookViewId="0" topLeftCell="N103">
      <selection activeCell="AA112" sqref="AA112"/>
    </sheetView>
  </sheetViews>
  <sheetFormatPr defaultColWidth="11.421875" defaultRowHeight="15"/>
  <cols>
    <col min="1" max="1" width="3.7109375" style="1207" bestFit="1" customWidth="1"/>
    <col min="2" max="2" width="16.28125" style="1" customWidth="1"/>
    <col min="3" max="3" width="29.140625" style="1207" customWidth="1"/>
    <col min="4" max="4" width="54.00390625" style="1207" customWidth="1"/>
    <col min="5" max="5" width="15.57421875" style="1207" customWidth="1"/>
    <col min="6" max="6" width="11.28125" style="1207" customWidth="1"/>
    <col min="7" max="7" width="16.57421875" style="1207" customWidth="1"/>
    <col min="8" max="8" width="18.00390625" style="1207" customWidth="1"/>
    <col min="9" max="9" width="11.7109375" style="1207" hidden="1" customWidth="1"/>
    <col min="10" max="10" width="39.140625" style="1207" customWidth="1"/>
    <col min="11" max="11" width="10.7109375" style="1207" customWidth="1"/>
    <col min="12" max="12" width="11.28125" style="1207" customWidth="1"/>
    <col min="13" max="13" width="4.140625" style="1207" customWidth="1"/>
    <col min="14" max="14" width="5.8515625" style="1207" customWidth="1"/>
    <col min="15" max="15" width="7.57421875" style="1207" customWidth="1"/>
    <col min="16" max="16" width="6.7109375" style="1207" customWidth="1"/>
    <col min="17" max="17" width="7.421875" style="1207" customWidth="1"/>
    <col min="18" max="21" width="6.28125" style="1207" bestFit="1" customWidth="1"/>
    <col min="22" max="22" width="7.00390625" style="1207" customWidth="1"/>
    <col min="23" max="24" width="6.28125" style="1207" bestFit="1" customWidth="1"/>
    <col min="25" max="25" width="10.57421875" style="1207" bestFit="1" customWidth="1"/>
    <col min="26" max="26" width="29.57421875" style="561" customWidth="1"/>
    <col min="27" max="27" width="22.140625" style="1207" customWidth="1"/>
    <col min="28" max="29" width="5.7109375" style="1207" hidden="1" customWidth="1"/>
    <col min="30" max="38" width="4.57421875" style="1207" hidden="1" customWidth="1"/>
    <col min="39" max="39" width="0.13671875" style="1207" hidden="1" customWidth="1"/>
    <col min="40" max="40" width="14.28125" style="1207" hidden="1" customWidth="1"/>
    <col min="41" max="41" width="14.28125" style="1212" hidden="1" customWidth="1"/>
    <col min="42" max="42" width="11.421875" style="1207" hidden="1" customWidth="1"/>
    <col min="43" max="43" width="11.421875" style="1212" hidden="1" customWidth="1"/>
    <col min="44" max="44" width="15.00390625" style="1207" hidden="1" customWidth="1"/>
    <col min="45" max="45" width="26.28125" style="1212" hidden="1" customWidth="1"/>
    <col min="46" max="46" width="16.421875" style="1212" hidden="1" customWidth="1"/>
    <col min="47" max="47" width="17.421875" style="1207" hidden="1" customWidth="1"/>
    <col min="48" max="48" width="15.00390625" style="1207" hidden="1" customWidth="1"/>
    <col min="49" max="49" width="79.28125" style="1207" hidden="1" customWidth="1"/>
    <col min="50" max="50" width="40.28125" style="1207" hidden="1" customWidth="1"/>
    <col min="51" max="51" width="14.28125" style="1207" hidden="1" customWidth="1"/>
    <col min="52" max="52" width="14.28125" style="1650" hidden="1" customWidth="1"/>
    <col min="53" max="53" width="11.421875" style="1207" hidden="1" customWidth="1"/>
    <col min="54" max="54" width="11.421875" style="1650" hidden="1" customWidth="1"/>
    <col min="55" max="55" width="14.57421875" style="1650" hidden="1" customWidth="1"/>
    <col min="56" max="56" width="11.421875" style="1207" hidden="1" customWidth="1"/>
    <col min="57" max="57" width="25.28125" style="1207" hidden="1" customWidth="1"/>
    <col min="58" max="58" width="17.421875" style="1207" hidden="1" customWidth="1"/>
    <col min="59" max="59" width="54.28125" style="1207" hidden="1" customWidth="1"/>
    <col min="60" max="60" width="35.7109375" style="1207" hidden="1" customWidth="1"/>
    <col min="61" max="61" width="14.421875" style="1207" hidden="1" customWidth="1"/>
    <col min="62" max="62" width="14.7109375" style="1207" hidden="1" customWidth="1"/>
    <col min="63" max="63" width="11.421875" style="1207" hidden="1" customWidth="1"/>
    <col min="64" max="65" width="17.140625" style="1207" hidden="1" customWidth="1"/>
    <col min="66" max="66" width="22.00390625" style="1207" hidden="1" customWidth="1"/>
    <col min="67" max="67" width="31.00390625" style="1207" hidden="1" customWidth="1"/>
    <col min="68" max="68" width="16.00390625" style="1207" hidden="1" customWidth="1"/>
    <col min="69" max="69" width="101.57421875" style="1207" hidden="1" customWidth="1"/>
    <col min="70" max="70" width="43.421875" style="1207" hidden="1" customWidth="1"/>
    <col min="71" max="71" width="30.8515625" style="1207" customWidth="1"/>
    <col min="72" max="72" width="18.00390625" style="1207" customWidth="1"/>
    <col min="73" max="73" width="17.00390625" style="1207" customWidth="1"/>
    <col min="74" max="74" width="14.421875" style="1207" customWidth="1"/>
    <col min="75" max="75" width="14.7109375" style="1207" customWidth="1"/>
    <col min="76" max="76" width="17.00390625" style="1207" customWidth="1"/>
    <col min="77" max="77" width="19.421875" style="1207" customWidth="1"/>
    <col min="78" max="78" width="17.00390625" style="1207" customWidth="1"/>
    <col min="79" max="79" width="80.421875" style="1207" customWidth="1"/>
    <col min="80" max="80" width="36.28125" style="1207" customWidth="1"/>
    <col min="81" max="16384" width="11.421875" style="1207" customWidth="1"/>
  </cols>
  <sheetData>
    <row r="1" spans="1:67"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c r="BD1" s="2600"/>
      <c r="BE1" s="2600"/>
      <c r="BF1" s="2600"/>
      <c r="BG1" s="2600"/>
      <c r="BH1" s="2600"/>
      <c r="BI1" s="2600"/>
      <c r="BJ1" s="2600"/>
      <c r="BK1" s="2600"/>
      <c r="BL1" s="2600"/>
      <c r="BM1" s="2600"/>
      <c r="BN1" s="2600"/>
      <c r="BO1" s="2600"/>
    </row>
    <row r="2" spans="1:67"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c r="BD2" s="2602"/>
      <c r="BE2" s="2602"/>
      <c r="BF2" s="2602"/>
      <c r="BG2" s="2602"/>
      <c r="BH2" s="2602"/>
      <c r="BI2" s="2602"/>
      <c r="BJ2" s="2602"/>
      <c r="BK2" s="2602"/>
      <c r="BL2" s="2602"/>
      <c r="BM2" s="2602"/>
      <c r="BN2" s="2602"/>
      <c r="BO2" s="2602"/>
    </row>
    <row r="3" spans="1:67"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c r="BD3" s="2604"/>
      <c r="BE3" s="2604"/>
      <c r="BF3" s="2604"/>
      <c r="BG3" s="2604"/>
      <c r="BH3" s="2604"/>
      <c r="BI3" s="2604"/>
      <c r="BJ3" s="2604"/>
      <c r="BK3" s="2604"/>
      <c r="BL3" s="2604"/>
      <c r="BM3" s="2604"/>
      <c r="BN3" s="2604"/>
      <c r="BO3" s="2604"/>
    </row>
    <row r="4" spans="1:67"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606"/>
      <c r="AX4" s="2606"/>
      <c r="AY4" s="2606"/>
      <c r="AZ4" s="2606"/>
      <c r="BA4" s="2606"/>
      <c r="BB4" s="2606"/>
      <c r="BC4" s="2606"/>
      <c r="BD4" s="2606"/>
      <c r="BE4" s="2606"/>
      <c r="BF4" s="2606"/>
      <c r="BG4" s="2606"/>
      <c r="BH4" s="2606"/>
      <c r="BI4" s="2708"/>
      <c r="BJ4" s="2708"/>
      <c r="BK4" s="2708"/>
      <c r="BL4" s="2708"/>
      <c r="BM4" s="2708"/>
      <c r="BN4" s="2708"/>
      <c r="BO4" s="2708"/>
    </row>
    <row r="5" spans="1:80"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1190"/>
      <c r="AC5" s="1190"/>
      <c r="AD5" s="1190"/>
      <c r="AE5" s="1190"/>
      <c r="AF5" s="1190"/>
      <c r="AG5" s="1190"/>
      <c r="AH5" s="1190"/>
      <c r="AI5" s="1190"/>
      <c r="AJ5" s="1190"/>
      <c r="AK5" s="1190"/>
      <c r="AL5" s="1190"/>
      <c r="AM5" s="1190"/>
      <c r="AN5" s="2610" t="s">
        <v>4</v>
      </c>
      <c r="AO5" s="2611"/>
      <c r="AP5" s="2611"/>
      <c r="AQ5" s="2611"/>
      <c r="AR5" s="2611"/>
      <c r="AS5" s="2611"/>
      <c r="AT5" s="2611"/>
      <c r="AU5" s="2611"/>
      <c r="AV5" s="2611"/>
      <c r="AW5" s="2611"/>
      <c r="AX5" s="2612"/>
      <c r="AY5" s="2616" t="s">
        <v>4</v>
      </c>
      <c r="AZ5" s="2617"/>
      <c r="BA5" s="2617"/>
      <c r="BB5" s="2617"/>
      <c r="BC5" s="2617"/>
      <c r="BD5" s="2617"/>
      <c r="BE5" s="2617"/>
      <c r="BF5" s="2617"/>
      <c r="BG5" s="2617"/>
      <c r="BH5" s="2618"/>
      <c r="BI5" s="2520" t="s">
        <v>2852</v>
      </c>
      <c r="BJ5" s="2521"/>
      <c r="BK5" s="2521"/>
      <c r="BL5" s="2521"/>
      <c r="BM5" s="2521"/>
      <c r="BN5" s="2521"/>
      <c r="BO5" s="2521"/>
      <c r="BP5" s="2521"/>
      <c r="BQ5" s="2521"/>
      <c r="BR5" s="2522"/>
      <c r="BS5" s="2575" t="s">
        <v>2856</v>
      </c>
      <c r="BT5" s="2576"/>
      <c r="BU5" s="2576"/>
      <c r="BV5" s="2576"/>
      <c r="BW5" s="2576"/>
      <c r="BX5" s="2576"/>
      <c r="BY5" s="2576"/>
      <c r="BZ5" s="2576"/>
      <c r="CA5" s="2576"/>
      <c r="CB5" s="2577"/>
    </row>
    <row r="6" spans="1:80"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1189"/>
      <c r="AC6" s="1189"/>
      <c r="AD6" s="1189"/>
      <c r="AE6" s="1189"/>
      <c r="AF6" s="1189"/>
      <c r="AG6" s="1189"/>
      <c r="AH6" s="1189"/>
      <c r="AI6" s="1189"/>
      <c r="AJ6" s="1189"/>
      <c r="AK6" s="1189"/>
      <c r="AL6" s="1189"/>
      <c r="AM6" s="1189"/>
      <c r="AN6" s="2613"/>
      <c r="AO6" s="2614"/>
      <c r="AP6" s="2614"/>
      <c r="AQ6" s="2614"/>
      <c r="AR6" s="2614"/>
      <c r="AS6" s="2614"/>
      <c r="AT6" s="2614"/>
      <c r="AU6" s="2614"/>
      <c r="AV6" s="2614"/>
      <c r="AW6" s="2614"/>
      <c r="AX6" s="2615"/>
      <c r="AY6" s="2619"/>
      <c r="AZ6" s="2620"/>
      <c r="BA6" s="2620"/>
      <c r="BB6" s="2620"/>
      <c r="BC6" s="2620"/>
      <c r="BD6" s="2620"/>
      <c r="BE6" s="2620"/>
      <c r="BF6" s="2620"/>
      <c r="BG6" s="2620"/>
      <c r="BH6" s="2621"/>
      <c r="BI6" s="2523"/>
      <c r="BJ6" s="2524"/>
      <c r="BK6" s="2524"/>
      <c r="BL6" s="2524"/>
      <c r="BM6" s="2524"/>
      <c r="BN6" s="2524"/>
      <c r="BO6" s="2524"/>
      <c r="BP6" s="2524"/>
      <c r="BQ6" s="2524"/>
      <c r="BR6" s="2525"/>
      <c r="BS6" s="2578"/>
      <c r="BT6" s="2579"/>
      <c r="BU6" s="2579"/>
      <c r="BV6" s="2579"/>
      <c r="BW6" s="2579"/>
      <c r="BX6" s="2579"/>
      <c r="BY6" s="2579"/>
      <c r="BZ6" s="2579"/>
      <c r="CA6" s="2579"/>
      <c r="CB6" s="2580"/>
    </row>
    <row r="7" spans="1:80"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1189"/>
      <c r="AC7" s="1189"/>
      <c r="AD7" s="1189"/>
      <c r="AE7" s="1189"/>
      <c r="AF7" s="1189"/>
      <c r="AG7" s="1189"/>
      <c r="AH7" s="1189"/>
      <c r="AI7" s="1189"/>
      <c r="AJ7" s="1189"/>
      <c r="AK7" s="1189"/>
      <c r="AL7" s="1189"/>
      <c r="AM7" s="1189"/>
      <c r="AN7" s="2625" t="s">
        <v>2452</v>
      </c>
      <c r="AO7" s="2626"/>
      <c r="AP7" s="2626"/>
      <c r="AQ7" s="2626"/>
      <c r="AR7" s="2626"/>
      <c r="AS7" s="2626"/>
      <c r="AT7" s="2626"/>
      <c r="AU7" s="2626"/>
      <c r="AV7" s="2626"/>
      <c r="AW7" s="2626"/>
      <c r="AX7" s="2627"/>
      <c r="AY7" s="2631" t="s">
        <v>2451</v>
      </c>
      <c r="AZ7" s="2632"/>
      <c r="BA7" s="2632"/>
      <c r="BB7" s="2632"/>
      <c r="BC7" s="2632"/>
      <c r="BD7" s="2632"/>
      <c r="BE7" s="2632"/>
      <c r="BF7" s="2632"/>
      <c r="BG7" s="2632"/>
      <c r="BH7" s="2633"/>
      <c r="BI7" s="2523"/>
      <c r="BJ7" s="2524"/>
      <c r="BK7" s="2524"/>
      <c r="BL7" s="2524"/>
      <c r="BM7" s="2524"/>
      <c r="BN7" s="2524"/>
      <c r="BO7" s="2524"/>
      <c r="BP7" s="2524"/>
      <c r="BQ7" s="2524"/>
      <c r="BR7" s="2525"/>
      <c r="BS7" s="2578"/>
      <c r="BT7" s="2579"/>
      <c r="BU7" s="2579"/>
      <c r="BV7" s="2579"/>
      <c r="BW7" s="2579"/>
      <c r="BX7" s="2579"/>
      <c r="BY7" s="2579"/>
      <c r="BZ7" s="2579"/>
      <c r="CA7" s="2579"/>
      <c r="CB7" s="2580"/>
    </row>
    <row r="8" spans="1:80"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1189"/>
      <c r="AC8" s="1189"/>
      <c r="AD8" s="1189"/>
      <c r="AE8" s="1189"/>
      <c r="AF8" s="1189"/>
      <c r="AG8" s="1189"/>
      <c r="AH8" s="1189"/>
      <c r="AI8" s="1189"/>
      <c r="AJ8" s="1189"/>
      <c r="AK8" s="1189"/>
      <c r="AL8" s="1189"/>
      <c r="AM8" s="1189"/>
      <c r="AN8" s="2625"/>
      <c r="AO8" s="2626"/>
      <c r="AP8" s="2626"/>
      <c r="AQ8" s="2626"/>
      <c r="AR8" s="2626"/>
      <c r="AS8" s="2626"/>
      <c r="AT8" s="2626"/>
      <c r="AU8" s="2626"/>
      <c r="AV8" s="2626"/>
      <c r="AW8" s="2626"/>
      <c r="AX8" s="2627"/>
      <c r="AY8" s="2631"/>
      <c r="AZ8" s="2632"/>
      <c r="BA8" s="2632"/>
      <c r="BB8" s="2632"/>
      <c r="BC8" s="2632"/>
      <c r="BD8" s="2632"/>
      <c r="BE8" s="2632"/>
      <c r="BF8" s="2632"/>
      <c r="BG8" s="2632"/>
      <c r="BH8" s="2633"/>
      <c r="BI8" s="2523"/>
      <c r="BJ8" s="2524"/>
      <c r="BK8" s="2524"/>
      <c r="BL8" s="2524"/>
      <c r="BM8" s="2524"/>
      <c r="BN8" s="2524"/>
      <c r="BO8" s="2524"/>
      <c r="BP8" s="2524"/>
      <c r="BQ8" s="2524"/>
      <c r="BR8" s="2525"/>
      <c r="BS8" s="2578"/>
      <c r="BT8" s="2579"/>
      <c r="BU8" s="2579"/>
      <c r="BV8" s="2579"/>
      <c r="BW8" s="2579"/>
      <c r="BX8" s="2579"/>
      <c r="BY8" s="2579"/>
      <c r="BZ8" s="2579"/>
      <c r="CA8" s="2579"/>
      <c r="CB8" s="2580"/>
    </row>
    <row r="9" spans="1:80"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1191"/>
      <c r="AC9" s="1191"/>
      <c r="AD9" s="1191"/>
      <c r="AE9" s="1191"/>
      <c r="AF9" s="1191"/>
      <c r="AG9" s="1191"/>
      <c r="AH9" s="1191"/>
      <c r="AI9" s="1191"/>
      <c r="AJ9" s="1191"/>
      <c r="AK9" s="1191"/>
      <c r="AL9" s="1191"/>
      <c r="AM9" s="1191"/>
      <c r="AN9" s="2628"/>
      <c r="AO9" s="2629"/>
      <c r="AP9" s="2629"/>
      <c r="AQ9" s="2629"/>
      <c r="AR9" s="2629"/>
      <c r="AS9" s="2629"/>
      <c r="AT9" s="2629"/>
      <c r="AU9" s="2629"/>
      <c r="AV9" s="2629"/>
      <c r="AW9" s="2629"/>
      <c r="AX9" s="2630"/>
      <c r="AY9" s="2634"/>
      <c r="AZ9" s="2635"/>
      <c r="BA9" s="2635"/>
      <c r="BB9" s="2635"/>
      <c r="BC9" s="2635"/>
      <c r="BD9" s="2635"/>
      <c r="BE9" s="2635"/>
      <c r="BF9" s="2635"/>
      <c r="BG9" s="2635"/>
      <c r="BH9" s="2636"/>
      <c r="BI9" s="2526"/>
      <c r="BJ9" s="2527"/>
      <c r="BK9" s="2527"/>
      <c r="BL9" s="2527"/>
      <c r="BM9" s="2527"/>
      <c r="BN9" s="2527"/>
      <c r="BO9" s="2527"/>
      <c r="BP9" s="2527"/>
      <c r="BQ9" s="2527"/>
      <c r="BR9" s="2528"/>
      <c r="BS9" s="2581"/>
      <c r="BT9" s="2582"/>
      <c r="BU9" s="2582"/>
      <c r="BV9" s="2582"/>
      <c r="BW9" s="2582"/>
      <c r="BX9" s="2582"/>
      <c r="BY9" s="2582"/>
      <c r="BZ9" s="2582"/>
      <c r="CA9" s="2582"/>
      <c r="CB9" s="2583"/>
    </row>
    <row r="10" spans="1:80" ht="9" customHeight="1" thickBot="1">
      <c r="A10" s="3"/>
      <c r="B10" s="4"/>
      <c r="C10" s="3"/>
      <c r="D10" s="3"/>
      <c r="E10" s="3"/>
      <c r="F10" s="237"/>
      <c r="G10" s="3"/>
      <c r="H10" s="3"/>
      <c r="I10" s="238"/>
      <c r="J10" s="3"/>
      <c r="K10" s="239"/>
      <c r="L10" s="239"/>
      <c r="M10" s="3"/>
      <c r="N10" s="3"/>
      <c r="O10" s="3"/>
      <c r="P10" s="3"/>
      <c r="Q10" s="3"/>
      <c r="R10" s="3"/>
      <c r="S10" s="3"/>
      <c r="T10" s="3"/>
      <c r="U10" s="3"/>
      <c r="V10" s="3"/>
      <c r="W10" s="3"/>
      <c r="X10" s="3"/>
      <c r="Y10" s="3"/>
      <c r="Z10" s="522"/>
      <c r="AA10" s="3"/>
      <c r="AB10" s="3"/>
      <c r="AC10" s="3"/>
      <c r="AD10" s="3"/>
      <c r="AE10" s="3"/>
      <c r="AF10" s="3"/>
      <c r="AG10" s="3"/>
      <c r="AH10" s="3"/>
      <c r="AI10" s="3"/>
      <c r="AJ10" s="3"/>
      <c r="AK10" s="3"/>
      <c r="AL10" s="3"/>
      <c r="AM10" s="3"/>
      <c r="AN10" s="242"/>
      <c r="AO10" s="242"/>
      <c r="AP10" s="242"/>
      <c r="AQ10" s="242"/>
      <c r="AR10" s="242"/>
      <c r="AS10" s="242"/>
      <c r="AT10" s="242"/>
      <c r="AU10" s="242"/>
      <c r="AV10" s="242"/>
      <c r="AW10" s="242"/>
      <c r="AX10" s="242"/>
      <c r="AY10"/>
      <c r="AZ10"/>
      <c r="BA10"/>
      <c r="BB10"/>
      <c r="BC10"/>
      <c r="BD10"/>
      <c r="BE10"/>
      <c r="BF10"/>
      <c r="BG10"/>
      <c r="BH10"/>
      <c r="BI10"/>
      <c r="BJ10"/>
      <c r="BK10"/>
      <c r="BL10"/>
      <c r="BM10"/>
      <c r="BN10"/>
      <c r="BO10"/>
      <c r="BS10"/>
      <c r="BT10"/>
      <c r="BU10"/>
      <c r="BV10"/>
      <c r="BW10"/>
      <c r="BX10"/>
      <c r="BY10"/>
      <c r="BZ10" s="2327"/>
      <c r="CA10" s="2327"/>
      <c r="CB10" s="2327"/>
    </row>
    <row r="11" spans="1:80" s="3" customFormat="1" ht="21" customHeight="1" thickBot="1">
      <c r="A11" s="2641" t="s">
        <v>7</v>
      </c>
      <c r="B11" s="2641"/>
      <c r="C11" s="2641"/>
      <c r="D11" s="2641"/>
      <c r="E11" s="2642" t="s">
        <v>1216</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1192"/>
      <c r="AC11" s="1192"/>
      <c r="AD11" s="1192"/>
      <c r="AE11" s="1192"/>
      <c r="AF11" s="1192"/>
      <c r="AG11" s="1192"/>
      <c r="AH11" s="1192"/>
      <c r="AI11" s="1192"/>
      <c r="AJ11" s="1192"/>
      <c r="AK11" s="1192"/>
      <c r="AL11" s="1192"/>
      <c r="AM11" s="1192"/>
      <c r="AN11" s="2637" t="s">
        <v>1216</v>
      </c>
      <c r="AO11" s="2637"/>
      <c r="AP11" s="2637"/>
      <c r="AQ11" s="2637"/>
      <c r="AR11" s="2637"/>
      <c r="AS11" s="2637"/>
      <c r="AT11" s="2637"/>
      <c r="AU11" s="2637"/>
      <c r="AV11" s="2637"/>
      <c r="AW11" s="2637"/>
      <c r="AX11" s="2637"/>
      <c r="AY11" s="2637" t="s">
        <v>1216</v>
      </c>
      <c r="AZ11" s="2637"/>
      <c r="BA11" s="2637"/>
      <c r="BB11" s="2637"/>
      <c r="BC11" s="2637"/>
      <c r="BD11" s="2637"/>
      <c r="BE11" s="2637"/>
      <c r="BF11" s="2637"/>
      <c r="BG11" s="2637"/>
      <c r="BH11" s="2637"/>
      <c r="BI11" s="2642" t="s">
        <v>1216</v>
      </c>
      <c r="BJ11" s="2643"/>
      <c r="BK11" s="2643"/>
      <c r="BL11" s="2643"/>
      <c r="BM11" s="2643"/>
      <c r="BN11" s="2643"/>
      <c r="BO11" s="2643"/>
      <c r="BP11" s="2643"/>
      <c r="BQ11" s="2643"/>
      <c r="BR11" s="2644"/>
      <c r="BS11" s="2642" t="s">
        <v>1216</v>
      </c>
      <c r="BT11" s="2643"/>
      <c r="BU11" s="2643"/>
      <c r="BV11" s="2643"/>
      <c r="BW11" s="2643"/>
      <c r="BX11" s="2643"/>
      <c r="BY11" s="2643"/>
      <c r="BZ11" s="2643"/>
      <c r="CA11" s="2643"/>
      <c r="CB11" s="2644"/>
    </row>
    <row r="12" spans="2:50" s="13" customFormat="1" ht="9.95" customHeight="1" thickBot="1">
      <c r="B12" s="14"/>
      <c r="F12" s="243"/>
      <c r="I12" s="244"/>
      <c r="K12" s="245"/>
      <c r="L12" s="245"/>
      <c r="Z12" s="388"/>
      <c r="AN12" s="248"/>
      <c r="AO12" s="248"/>
      <c r="AP12" s="248"/>
      <c r="AQ12" s="248"/>
      <c r="AR12" s="248"/>
      <c r="AS12" s="248"/>
      <c r="AT12" s="248"/>
      <c r="AU12" s="248"/>
      <c r="AV12" s="248"/>
      <c r="AW12" s="248"/>
      <c r="AX12" s="248"/>
    </row>
    <row r="13" spans="1:80" s="4" customFormat="1" ht="21" customHeight="1" thickBot="1">
      <c r="A13" s="2670" t="s">
        <v>9</v>
      </c>
      <c r="B13" s="2670"/>
      <c r="C13" s="2670"/>
      <c r="D13" s="2670"/>
      <c r="E13" s="2648" t="s">
        <v>554</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1193"/>
      <c r="AC13" s="1193"/>
      <c r="AD13" s="1193"/>
      <c r="AE13" s="1193"/>
      <c r="AF13" s="1193"/>
      <c r="AG13" s="1193"/>
      <c r="AH13" s="1193"/>
      <c r="AI13" s="1193"/>
      <c r="AJ13" s="1193"/>
      <c r="AK13" s="1193"/>
      <c r="AL13" s="1193"/>
      <c r="AM13" s="1193"/>
      <c r="AN13" s="2651" t="s">
        <v>554</v>
      </c>
      <c r="AO13" s="2651"/>
      <c r="AP13" s="2651"/>
      <c r="AQ13" s="2651"/>
      <c r="AR13" s="2651"/>
      <c r="AS13" s="2651"/>
      <c r="AT13" s="2651"/>
      <c r="AU13" s="2651"/>
      <c r="AV13" s="2651"/>
      <c r="AW13" s="2651"/>
      <c r="AX13" s="2651"/>
      <c r="AY13" s="2651" t="s">
        <v>554</v>
      </c>
      <c r="AZ13" s="2651"/>
      <c r="BA13" s="2651"/>
      <c r="BB13" s="2651"/>
      <c r="BC13" s="2651"/>
      <c r="BD13" s="2651"/>
      <c r="BE13" s="2651"/>
      <c r="BF13" s="2651"/>
      <c r="BG13" s="2651"/>
      <c r="BH13" s="2651"/>
      <c r="BI13" s="2648" t="s">
        <v>554</v>
      </c>
      <c r="BJ13" s="2649"/>
      <c r="BK13" s="2649"/>
      <c r="BL13" s="2649"/>
      <c r="BM13" s="2649"/>
      <c r="BN13" s="2649"/>
      <c r="BO13" s="2649"/>
      <c r="BP13" s="2649"/>
      <c r="BQ13" s="2649"/>
      <c r="BR13" s="2650"/>
      <c r="BS13" s="2648" t="s">
        <v>554</v>
      </c>
      <c r="BT13" s="2649"/>
      <c r="BU13" s="2649"/>
      <c r="BV13" s="2649"/>
      <c r="BW13" s="2649"/>
      <c r="BX13" s="2649"/>
      <c r="BY13" s="2649"/>
      <c r="BZ13" s="2649"/>
      <c r="CA13" s="2649"/>
      <c r="CB13" s="2650"/>
    </row>
    <row r="14" spans="1:77" s="13" customFormat="1" ht="9.75" customHeight="1" thickBot="1">
      <c r="A14" s="2663"/>
      <c r="B14" s="2663"/>
      <c r="C14" s="2663"/>
      <c r="D14" s="2663"/>
      <c r="E14" s="2663"/>
      <c r="F14" s="2663"/>
      <c r="G14" s="2663"/>
      <c r="H14" s="2663"/>
      <c r="I14" s="2663"/>
      <c r="J14" s="2663"/>
      <c r="K14" s="2663"/>
      <c r="L14" s="2663"/>
      <c r="M14" s="2663"/>
      <c r="N14" s="2663"/>
      <c r="O14" s="2663"/>
      <c r="P14" s="2663"/>
      <c r="Q14" s="2663"/>
      <c r="R14" s="2663"/>
      <c r="S14" s="2663"/>
      <c r="T14" s="2663"/>
      <c r="U14" s="2663"/>
      <c r="V14" s="2663"/>
      <c r="W14" s="2663"/>
      <c r="X14" s="2663"/>
      <c r="Y14" s="2663"/>
      <c r="Z14" s="2663"/>
      <c r="AA14" s="2663"/>
      <c r="AB14" s="1199"/>
      <c r="AC14" s="1199"/>
      <c r="AD14" s="1199"/>
      <c r="AE14" s="1199"/>
      <c r="AF14" s="1199"/>
      <c r="AG14" s="1199"/>
      <c r="AH14" s="1199"/>
      <c r="AI14" s="1199"/>
      <c r="AJ14" s="1199"/>
      <c r="AK14" s="1199"/>
      <c r="AL14" s="1199"/>
      <c r="AM14" s="1199"/>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S14" s="392"/>
      <c r="BT14" s="392"/>
      <c r="BU14" s="392"/>
      <c r="BV14" s="392"/>
      <c r="BW14" s="392"/>
      <c r="BX14" s="392"/>
      <c r="BY14" s="392"/>
    </row>
    <row r="15" spans="1:80" s="35" customFormat="1" ht="63" customHeight="1" thickBot="1">
      <c r="A15" s="22" t="s">
        <v>11</v>
      </c>
      <c r="B15" s="396" t="s">
        <v>12</v>
      </c>
      <c r="C15" s="22" t="s">
        <v>13</v>
      </c>
      <c r="D15" s="322" t="s">
        <v>14</v>
      </c>
      <c r="E15" s="322" t="s">
        <v>15</v>
      </c>
      <c r="F15" s="322" t="s">
        <v>16</v>
      </c>
      <c r="G15" s="322" t="s">
        <v>17</v>
      </c>
      <c r="H15" s="322" t="s">
        <v>18</v>
      </c>
      <c r="I15" s="322" t="s">
        <v>19</v>
      </c>
      <c r="J15" s="322" t="s">
        <v>20</v>
      </c>
      <c r="K15" s="322" t="s">
        <v>21</v>
      </c>
      <c r="L15" s="322" t="s">
        <v>22</v>
      </c>
      <c r="M15" s="484" t="s">
        <v>23</v>
      </c>
      <c r="N15" s="484" t="s">
        <v>24</v>
      </c>
      <c r="O15" s="484" t="s">
        <v>25</v>
      </c>
      <c r="P15" s="484" t="s">
        <v>26</v>
      </c>
      <c r="Q15" s="484" t="s">
        <v>27</v>
      </c>
      <c r="R15" s="484" t="s">
        <v>28</v>
      </c>
      <c r="S15" s="484" t="s">
        <v>29</v>
      </c>
      <c r="T15" s="484" t="s">
        <v>30</v>
      </c>
      <c r="U15" s="484" t="s">
        <v>31</v>
      </c>
      <c r="V15" s="484" t="s">
        <v>32</v>
      </c>
      <c r="W15" s="484" t="s">
        <v>33</v>
      </c>
      <c r="X15" s="484" t="s">
        <v>34</v>
      </c>
      <c r="Y15" s="322" t="s">
        <v>35</v>
      </c>
      <c r="Z15" s="485" t="s">
        <v>36</v>
      </c>
      <c r="AA15" s="322" t="s">
        <v>37</v>
      </c>
      <c r="AB15" s="1213" t="s">
        <v>23</v>
      </c>
      <c r="AC15" s="1213" t="s">
        <v>24</v>
      </c>
      <c r="AD15" s="484" t="s">
        <v>25</v>
      </c>
      <c r="AE15" s="484" t="s">
        <v>26</v>
      </c>
      <c r="AF15" s="484" t="s">
        <v>27</v>
      </c>
      <c r="AG15" s="484" t="s">
        <v>28</v>
      </c>
      <c r="AH15" s="484" t="s">
        <v>29</v>
      </c>
      <c r="AI15" s="484" t="s">
        <v>30</v>
      </c>
      <c r="AJ15" s="484" t="s">
        <v>31</v>
      </c>
      <c r="AK15" s="484" t="s">
        <v>32</v>
      </c>
      <c r="AL15" s="484" t="s">
        <v>33</v>
      </c>
      <c r="AM15" s="484" t="s">
        <v>34</v>
      </c>
      <c r="AN15" s="613" t="s">
        <v>38</v>
      </c>
      <c r="AO15" s="613" t="s">
        <v>1781</v>
      </c>
      <c r="AP15" s="613" t="s">
        <v>39</v>
      </c>
      <c r="AQ15" s="613" t="s">
        <v>1786</v>
      </c>
      <c r="AR15" s="613" t="s">
        <v>1785</v>
      </c>
      <c r="AS15" s="613" t="s">
        <v>1782</v>
      </c>
      <c r="AT15" s="613" t="s">
        <v>1783</v>
      </c>
      <c r="AU15" s="613" t="s">
        <v>41</v>
      </c>
      <c r="AV15" s="613" t="s">
        <v>42</v>
      </c>
      <c r="AW15" s="613" t="s">
        <v>43</v>
      </c>
      <c r="AX15" s="613" t="s">
        <v>44</v>
      </c>
      <c r="AY15" s="614" t="s">
        <v>45</v>
      </c>
      <c r="AZ15" s="614" t="s">
        <v>1781</v>
      </c>
      <c r="BA15" s="614" t="s">
        <v>46</v>
      </c>
      <c r="BB15" s="614" t="s">
        <v>2024</v>
      </c>
      <c r="BC15" s="614" t="s">
        <v>1785</v>
      </c>
      <c r="BD15" s="614" t="s">
        <v>2195</v>
      </c>
      <c r="BE15" s="614" t="s">
        <v>41</v>
      </c>
      <c r="BF15" s="614" t="s">
        <v>42</v>
      </c>
      <c r="BG15" s="614" t="s">
        <v>43</v>
      </c>
      <c r="BH15" s="614" t="s">
        <v>44</v>
      </c>
      <c r="BI15" s="2067" t="s">
        <v>47</v>
      </c>
      <c r="BJ15" s="2067" t="s">
        <v>1781</v>
      </c>
      <c r="BK15" s="2067" t="s">
        <v>48</v>
      </c>
      <c r="BL15" s="2067" t="s">
        <v>2621</v>
      </c>
      <c r="BM15" s="2067" t="s">
        <v>1785</v>
      </c>
      <c r="BN15" s="2067" t="s">
        <v>2622</v>
      </c>
      <c r="BO15" s="2067" t="s">
        <v>41</v>
      </c>
      <c r="BP15" s="2067" t="s">
        <v>42</v>
      </c>
      <c r="BQ15" s="2067" t="s">
        <v>43</v>
      </c>
      <c r="BR15" s="2067" t="s">
        <v>44</v>
      </c>
      <c r="BS15" s="2367" t="s">
        <v>49</v>
      </c>
      <c r="BT15" s="2367" t="s">
        <v>1781</v>
      </c>
      <c r="BU15" s="2367" t="s">
        <v>50</v>
      </c>
      <c r="BV15" s="2367" t="s">
        <v>2857</v>
      </c>
      <c r="BW15" s="2367" t="s">
        <v>1785</v>
      </c>
      <c r="BX15" s="2367" t="s">
        <v>2858</v>
      </c>
      <c r="BY15" s="2367" t="s">
        <v>41</v>
      </c>
      <c r="BZ15" s="2367" t="s">
        <v>42</v>
      </c>
      <c r="CA15" s="2367" t="s">
        <v>43</v>
      </c>
      <c r="CB15" s="2367" t="s">
        <v>44</v>
      </c>
    </row>
    <row r="16" spans="1:80" s="606" customFormat="1" ht="161.25" customHeight="1" thickBot="1">
      <c r="A16" s="2655">
        <v>1</v>
      </c>
      <c r="B16" s="2655" t="s">
        <v>1098</v>
      </c>
      <c r="C16" s="1202" t="s">
        <v>1131</v>
      </c>
      <c r="D16" s="612" t="s">
        <v>1217</v>
      </c>
      <c r="E16" s="39" t="s">
        <v>2859</v>
      </c>
      <c r="F16" s="40">
        <v>3</v>
      </c>
      <c r="G16" s="40" t="s">
        <v>2860</v>
      </c>
      <c r="H16" s="40" t="s">
        <v>1218</v>
      </c>
      <c r="I16" s="54">
        <v>15</v>
      </c>
      <c r="J16" s="54" t="s">
        <v>1219</v>
      </c>
      <c r="K16" s="505">
        <v>42019</v>
      </c>
      <c r="L16" s="505">
        <v>42369</v>
      </c>
      <c r="M16" s="57"/>
      <c r="N16" s="57"/>
      <c r="O16" s="57"/>
      <c r="P16" s="57"/>
      <c r="Q16" s="57"/>
      <c r="R16" s="57">
        <v>1</v>
      </c>
      <c r="S16" s="57">
        <v>1</v>
      </c>
      <c r="T16" s="57">
        <v>1</v>
      </c>
      <c r="U16" s="57"/>
      <c r="V16" s="57"/>
      <c r="W16" s="57"/>
      <c r="X16" s="57"/>
      <c r="Y16" s="506">
        <f>SUM(M16:X16)</f>
        <v>3</v>
      </c>
      <c r="Z16" s="75">
        <v>0</v>
      </c>
      <c r="AA16" s="97"/>
      <c r="AB16" s="1214">
        <v>0</v>
      </c>
      <c r="AC16" s="1214">
        <v>0</v>
      </c>
      <c r="AD16" s="616"/>
      <c r="AE16" s="616"/>
      <c r="AF16" s="617"/>
      <c r="AG16" s="617"/>
      <c r="AH16" s="618"/>
      <c r="AI16" s="618"/>
      <c r="AJ16" s="619"/>
      <c r="AK16" s="619"/>
      <c r="AL16" s="620"/>
      <c r="AM16" s="620"/>
      <c r="AN16" s="1263">
        <f aca="true" t="shared" si="0" ref="AN16:AN35">SUM(M16:N16)</f>
        <v>0</v>
      </c>
      <c r="AO16" s="645">
        <f aca="true" t="shared" si="1" ref="AO16:AO35">IF(AN16=0,0%,100%)</f>
        <v>0</v>
      </c>
      <c r="AP16" s="1267">
        <f>SUM(N16:O16)</f>
        <v>0</v>
      </c>
      <c r="AQ16" s="645" t="s">
        <v>1090</v>
      </c>
      <c r="AR16" s="1271">
        <f aca="true" t="shared" si="2" ref="AR16:AR24">+AP16/Y16</f>
        <v>0</v>
      </c>
      <c r="AS16" s="1647" t="str">
        <f aca="true" t="shared" si="3" ref="AS16:AS35">IF(AO16&gt;0,AQ16,"-")</f>
        <v>-</v>
      </c>
      <c r="AT16" s="1647">
        <f>AR16</f>
        <v>0</v>
      </c>
      <c r="AU16" s="1215">
        <v>0</v>
      </c>
      <c r="AV16" s="624">
        <v>0</v>
      </c>
      <c r="AW16" s="623" t="s">
        <v>1668</v>
      </c>
      <c r="AX16" s="623"/>
      <c r="AY16" s="1706">
        <f>SUM(M16:P16)</f>
        <v>0</v>
      </c>
      <c r="AZ16" s="1707">
        <f aca="true" t="shared" si="4" ref="AZ16:AZ35">IF(AY16=0,0%,100%)</f>
        <v>0</v>
      </c>
      <c r="BA16" s="1708">
        <v>0</v>
      </c>
      <c r="BB16" s="1709" t="s">
        <v>1090</v>
      </c>
      <c r="BC16" s="1709">
        <f>BA16/Y16</f>
        <v>0</v>
      </c>
      <c r="BD16" s="1710">
        <v>0</v>
      </c>
      <c r="BE16" s="1745">
        <v>0</v>
      </c>
      <c r="BF16" s="1706"/>
      <c r="BG16" s="1702" t="s">
        <v>2026</v>
      </c>
      <c r="BH16" s="1702" t="s">
        <v>2027</v>
      </c>
      <c r="BI16" s="2084">
        <v>1</v>
      </c>
      <c r="BJ16" s="2183">
        <f aca="true" t="shared" si="5" ref="BJ16:BJ35">IF(BI16=0,0%,100%)</f>
        <v>1</v>
      </c>
      <c r="BK16" s="2084">
        <v>3</v>
      </c>
      <c r="BL16" s="2183">
        <v>1</v>
      </c>
      <c r="BM16" s="2085">
        <v>1</v>
      </c>
      <c r="BN16" s="2085">
        <v>1</v>
      </c>
      <c r="BO16" s="2307">
        <v>0</v>
      </c>
      <c r="BP16" s="2084" t="s">
        <v>1090</v>
      </c>
      <c r="BQ16" s="2178" t="s">
        <v>2623</v>
      </c>
      <c r="BR16" s="2178" t="s">
        <v>2624</v>
      </c>
      <c r="BS16" s="2339">
        <f>SUM(M16:T16)</f>
        <v>3</v>
      </c>
      <c r="BT16" s="2379">
        <f aca="true" t="shared" si="6" ref="BT16:BT35">IF(BS16=0,0%,100%)</f>
        <v>1</v>
      </c>
      <c r="BU16" s="2339">
        <v>3</v>
      </c>
      <c r="BV16" s="2379">
        <f>BU16/BS16</f>
        <v>1</v>
      </c>
      <c r="BW16" s="2373">
        <v>1</v>
      </c>
      <c r="BX16" s="2373">
        <f>BU16/Y16</f>
        <v>1</v>
      </c>
      <c r="BY16" s="2380"/>
      <c r="BZ16" s="2339"/>
      <c r="CA16" s="2381" t="s">
        <v>2863</v>
      </c>
      <c r="CB16" s="2381" t="s">
        <v>1770</v>
      </c>
    </row>
    <row r="17" spans="1:80" s="606" customFormat="1" ht="108" customHeight="1" thickBot="1">
      <c r="A17" s="2655"/>
      <c r="B17" s="2655"/>
      <c r="C17" s="1201" t="s">
        <v>1137</v>
      </c>
      <c r="D17" s="507" t="s">
        <v>2809</v>
      </c>
      <c r="E17" s="104" t="s">
        <v>2861</v>
      </c>
      <c r="F17" s="112">
        <v>3</v>
      </c>
      <c r="G17" s="104" t="s">
        <v>2862</v>
      </c>
      <c r="H17" s="40" t="s">
        <v>1218</v>
      </c>
      <c r="I17" s="262">
        <v>15</v>
      </c>
      <c r="J17" s="42" t="s">
        <v>1220</v>
      </c>
      <c r="K17" s="505">
        <v>42019</v>
      </c>
      <c r="L17" s="505">
        <v>42369</v>
      </c>
      <c r="M17" s="2732">
        <v>1</v>
      </c>
      <c r="N17" s="2733"/>
      <c r="O17" s="2733"/>
      <c r="P17" s="2733"/>
      <c r="Q17" s="2733"/>
      <c r="R17" s="2733"/>
      <c r="S17" s="2733"/>
      <c r="T17" s="2733"/>
      <c r="U17" s="2733"/>
      <c r="V17" s="2733"/>
      <c r="W17" s="2733"/>
      <c r="X17" s="2734"/>
      <c r="Y17" s="538">
        <f>SUM(M17:X17)</f>
        <v>1</v>
      </c>
      <c r="Z17" s="75">
        <v>0</v>
      </c>
      <c r="AA17" s="610"/>
      <c r="AB17" s="1216">
        <v>0</v>
      </c>
      <c r="AC17" s="1216">
        <v>0</v>
      </c>
      <c r="AD17" s="626"/>
      <c r="AE17" s="626"/>
      <c r="AF17" s="627"/>
      <c r="AG17" s="627"/>
      <c r="AH17" s="628"/>
      <c r="AI17" s="628"/>
      <c r="AJ17" s="629"/>
      <c r="AK17" s="629"/>
      <c r="AL17" s="630"/>
      <c r="AM17" s="630"/>
      <c r="AN17" s="1264">
        <f>SUM(M17:N17)</f>
        <v>1</v>
      </c>
      <c r="AO17" s="645">
        <f t="shared" si="1"/>
        <v>1</v>
      </c>
      <c r="AP17" s="1267">
        <f>SUM(N17:O17)</f>
        <v>0</v>
      </c>
      <c r="AQ17" s="645" t="s">
        <v>1090</v>
      </c>
      <c r="AR17" s="1271">
        <f t="shared" si="2"/>
        <v>0</v>
      </c>
      <c r="AS17" s="1647" t="str">
        <f t="shared" si="3"/>
        <v>-</v>
      </c>
      <c r="AT17" s="1647">
        <f aca="true" t="shared" si="7" ref="AT17:AT24">AR17</f>
        <v>0</v>
      </c>
      <c r="AU17" s="1215">
        <v>0</v>
      </c>
      <c r="AV17" s="624">
        <v>0</v>
      </c>
      <c r="AW17" s="623" t="s">
        <v>1669</v>
      </c>
      <c r="AX17" s="623" t="s">
        <v>1670</v>
      </c>
      <c r="AY17" s="1706">
        <f>SUM(M17:P17)</f>
        <v>1</v>
      </c>
      <c r="AZ17" s="1707">
        <f t="shared" si="4"/>
        <v>1</v>
      </c>
      <c r="BA17" s="1701">
        <v>0</v>
      </c>
      <c r="BB17" s="1709" t="s">
        <v>1090</v>
      </c>
      <c r="BC17" s="1709">
        <f aca="true" t="shared" si="8" ref="BC17:BC24">BA17/Y17</f>
        <v>0</v>
      </c>
      <c r="BD17" s="1710">
        <v>0</v>
      </c>
      <c r="BE17" s="1745">
        <v>0</v>
      </c>
      <c r="BF17" s="1711"/>
      <c r="BG17" s="1703" t="s">
        <v>2028</v>
      </c>
      <c r="BH17" s="1703" t="s">
        <v>2027</v>
      </c>
      <c r="BI17" s="2084">
        <v>1</v>
      </c>
      <c r="BJ17" s="2183">
        <f t="shared" si="5"/>
        <v>1</v>
      </c>
      <c r="BK17" s="2084">
        <v>1</v>
      </c>
      <c r="BL17" s="2183">
        <v>1</v>
      </c>
      <c r="BM17" s="2085">
        <v>1</v>
      </c>
      <c r="BN17" s="2085">
        <v>1</v>
      </c>
      <c r="BO17" s="2307">
        <v>0</v>
      </c>
      <c r="BP17" s="2084" t="s">
        <v>1090</v>
      </c>
      <c r="BQ17" s="2178" t="s">
        <v>2625</v>
      </c>
      <c r="BR17" s="1988" t="s">
        <v>2626</v>
      </c>
      <c r="BS17" s="2373">
        <f aca="true" t="shared" si="9" ref="BS17:BS24">SUM(M17:T17)</f>
        <v>1</v>
      </c>
      <c r="BT17" s="2379">
        <f t="shared" si="6"/>
        <v>1</v>
      </c>
      <c r="BU17" s="2373">
        <v>1</v>
      </c>
      <c r="BV17" s="2379">
        <f aca="true" t="shared" si="10" ref="BV17:BV24">BU17/BS17</f>
        <v>1</v>
      </c>
      <c r="BW17" s="2373">
        <v>1</v>
      </c>
      <c r="BX17" s="2373">
        <v>1</v>
      </c>
      <c r="BY17" s="2380"/>
      <c r="BZ17" s="2339"/>
      <c r="CA17" s="2381" t="s">
        <v>2864</v>
      </c>
      <c r="CB17" s="2376" t="s">
        <v>1770</v>
      </c>
    </row>
    <row r="18" spans="1:80" s="606" customFormat="1" ht="70.5" customHeight="1" thickBot="1">
      <c r="A18" s="2655"/>
      <c r="B18" s="2655"/>
      <c r="C18" s="2709" t="s">
        <v>1143</v>
      </c>
      <c r="D18" s="508" t="s">
        <v>1671</v>
      </c>
      <c r="E18" s="104" t="s">
        <v>1221</v>
      </c>
      <c r="F18" s="112">
        <v>100</v>
      </c>
      <c r="G18" s="104" t="s">
        <v>1222</v>
      </c>
      <c r="H18" s="40" t="s">
        <v>1227</v>
      </c>
      <c r="I18" s="262">
        <v>10</v>
      </c>
      <c r="J18" s="42" t="s">
        <v>1223</v>
      </c>
      <c r="K18" s="56">
        <v>42019</v>
      </c>
      <c r="L18" s="56">
        <v>42063</v>
      </c>
      <c r="M18" s="562"/>
      <c r="N18" s="563">
        <v>1</v>
      </c>
      <c r="O18" s="564"/>
      <c r="P18" s="44"/>
      <c r="Q18" s="44"/>
      <c r="R18" s="44"/>
      <c r="S18" s="44"/>
      <c r="T18" s="44"/>
      <c r="U18" s="44"/>
      <c r="V18" s="44"/>
      <c r="W18" s="44"/>
      <c r="X18" s="44"/>
      <c r="Y18" s="1714">
        <v>1</v>
      </c>
      <c r="Z18" s="75">
        <v>0</v>
      </c>
      <c r="AA18" s="610"/>
      <c r="AB18" s="1217">
        <v>0</v>
      </c>
      <c r="AC18" s="1217">
        <v>0.98</v>
      </c>
      <c r="AD18" s="631"/>
      <c r="AE18" s="626"/>
      <c r="AF18" s="627"/>
      <c r="AG18" s="627"/>
      <c r="AH18" s="628"/>
      <c r="AI18" s="628"/>
      <c r="AJ18" s="629"/>
      <c r="AK18" s="629"/>
      <c r="AL18" s="630"/>
      <c r="AM18" s="630"/>
      <c r="AN18" s="1265">
        <f t="shared" si="0"/>
        <v>1</v>
      </c>
      <c r="AO18" s="645">
        <f t="shared" si="1"/>
        <v>1</v>
      </c>
      <c r="AP18" s="1268">
        <f>SUM(AB18:AC18)</f>
        <v>0.98</v>
      </c>
      <c r="AQ18" s="645">
        <f aca="true" t="shared" si="11" ref="AQ18:AQ33">AP18/AN18</f>
        <v>0.98</v>
      </c>
      <c r="AR18" s="1271">
        <f t="shared" si="2"/>
        <v>0.98</v>
      </c>
      <c r="AS18" s="1647">
        <f t="shared" si="3"/>
        <v>0.98</v>
      </c>
      <c r="AT18" s="1647">
        <f t="shared" si="7"/>
        <v>0.98</v>
      </c>
      <c r="AU18" s="1215">
        <v>0</v>
      </c>
      <c r="AV18" s="624">
        <v>0</v>
      </c>
      <c r="AW18" s="623" t="s">
        <v>1672</v>
      </c>
      <c r="AX18" s="623"/>
      <c r="AY18" s="1710">
        <f aca="true" t="shared" si="12" ref="AY18:AY24">SUM(M18:P18)</f>
        <v>1</v>
      </c>
      <c r="AZ18" s="1707">
        <f t="shared" si="4"/>
        <v>1</v>
      </c>
      <c r="BA18" s="1709">
        <v>1</v>
      </c>
      <c r="BB18" s="1709">
        <f aca="true" t="shared" si="13" ref="BB18:BB23">BA18/AY18</f>
        <v>1</v>
      </c>
      <c r="BC18" s="1709">
        <f t="shared" si="8"/>
        <v>1</v>
      </c>
      <c r="BD18" s="1710">
        <f aca="true" t="shared" si="14" ref="BD18:BD33">IF(AZ18&gt;0,BB18,"-")</f>
        <v>1</v>
      </c>
      <c r="BE18" s="1745">
        <v>0</v>
      </c>
      <c r="BF18" s="1711"/>
      <c r="BG18" s="1703" t="s">
        <v>2029</v>
      </c>
      <c r="BH18" s="1703" t="s">
        <v>1669</v>
      </c>
      <c r="BI18" s="2084">
        <v>1</v>
      </c>
      <c r="BJ18" s="2183">
        <f t="shared" si="5"/>
        <v>1</v>
      </c>
      <c r="BK18" s="2175">
        <v>1</v>
      </c>
      <c r="BL18" s="2183">
        <v>1</v>
      </c>
      <c r="BM18" s="2085">
        <v>1</v>
      </c>
      <c r="BN18" s="2085">
        <v>1</v>
      </c>
      <c r="BO18" s="2307">
        <v>0</v>
      </c>
      <c r="BP18" s="2084" t="s">
        <v>1090</v>
      </c>
      <c r="BQ18" s="2178" t="s">
        <v>2627</v>
      </c>
      <c r="BR18" s="1988" t="s">
        <v>1669</v>
      </c>
      <c r="BS18" s="2373">
        <f t="shared" si="9"/>
        <v>1</v>
      </c>
      <c r="BT18" s="2379">
        <f t="shared" si="6"/>
        <v>1</v>
      </c>
      <c r="BU18" s="2382">
        <v>1</v>
      </c>
      <c r="BV18" s="2379">
        <f t="shared" si="10"/>
        <v>1</v>
      </c>
      <c r="BW18" s="2373">
        <v>1</v>
      </c>
      <c r="BX18" s="2373">
        <v>1</v>
      </c>
      <c r="BY18" s="2380"/>
      <c r="BZ18" s="2339"/>
      <c r="CA18" s="2381" t="s">
        <v>2863</v>
      </c>
      <c r="CB18" s="2376" t="s">
        <v>1770</v>
      </c>
    </row>
    <row r="19" spans="1:80" s="606" customFormat="1" ht="64.5" customHeight="1" thickBot="1">
      <c r="A19" s="2655"/>
      <c r="B19" s="2655"/>
      <c r="C19" s="2710"/>
      <c r="D19" s="2712" t="s">
        <v>1673</v>
      </c>
      <c r="E19" s="104" t="s">
        <v>1224</v>
      </c>
      <c r="F19" s="112">
        <v>100</v>
      </c>
      <c r="G19" s="104" t="s">
        <v>1225</v>
      </c>
      <c r="H19" s="40" t="s">
        <v>1227</v>
      </c>
      <c r="I19" s="262">
        <v>10</v>
      </c>
      <c r="J19" s="42" t="s">
        <v>1224</v>
      </c>
      <c r="K19" s="43">
        <v>42019</v>
      </c>
      <c r="L19" s="43">
        <v>42093</v>
      </c>
      <c r="M19" s="562"/>
      <c r="N19" s="563"/>
      <c r="O19" s="563">
        <v>1</v>
      </c>
      <c r="P19" s="44"/>
      <c r="Q19" s="44"/>
      <c r="R19" s="44"/>
      <c r="S19" s="44"/>
      <c r="T19" s="44"/>
      <c r="U19" s="44"/>
      <c r="V19" s="44"/>
      <c r="W19" s="44"/>
      <c r="X19" s="44"/>
      <c r="Y19" s="1714">
        <v>1</v>
      </c>
      <c r="Z19" s="75">
        <v>0</v>
      </c>
      <c r="AA19" s="610"/>
      <c r="AB19" s="1217">
        <v>0</v>
      </c>
      <c r="AC19" s="1217">
        <v>0.6</v>
      </c>
      <c r="AD19" s="633"/>
      <c r="AE19" s="626"/>
      <c r="AF19" s="627"/>
      <c r="AG19" s="627"/>
      <c r="AH19" s="628"/>
      <c r="AI19" s="628"/>
      <c r="AJ19" s="629"/>
      <c r="AK19" s="629"/>
      <c r="AL19" s="630"/>
      <c r="AM19" s="630"/>
      <c r="AN19" s="1265">
        <f t="shared" si="0"/>
        <v>0</v>
      </c>
      <c r="AO19" s="645">
        <f t="shared" si="1"/>
        <v>0</v>
      </c>
      <c r="AP19" s="1269">
        <f>SUM(AB19:AC19)</f>
        <v>0.6</v>
      </c>
      <c r="AQ19" s="645" t="s">
        <v>1090</v>
      </c>
      <c r="AR19" s="1271">
        <f t="shared" si="2"/>
        <v>0.6</v>
      </c>
      <c r="AS19" s="1647" t="str">
        <f t="shared" si="3"/>
        <v>-</v>
      </c>
      <c r="AT19" s="1647">
        <f t="shared" si="7"/>
        <v>0.6</v>
      </c>
      <c r="AU19" s="1215">
        <v>0</v>
      </c>
      <c r="AV19" s="624">
        <v>0</v>
      </c>
      <c r="AW19" s="623" t="s">
        <v>1674</v>
      </c>
      <c r="AX19" s="623" t="s">
        <v>1669</v>
      </c>
      <c r="AY19" s="1710">
        <f t="shared" si="12"/>
        <v>1</v>
      </c>
      <c r="AZ19" s="1707">
        <f t="shared" si="4"/>
        <v>1</v>
      </c>
      <c r="BA19" s="1709">
        <v>1</v>
      </c>
      <c r="BB19" s="1709">
        <f t="shared" si="13"/>
        <v>1</v>
      </c>
      <c r="BC19" s="1709">
        <f t="shared" si="8"/>
        <v>1</v>
      </c>
      <c r="BD19" s="1710">
        <f t="shared" si="14"/>
        <v>1</v>
      </c>
      <c r="BE19" s="1745">
        <v>0</v>
      </c>
      <c r="BF19" s="1711"/>
      <c r="BG19" s="1703" t="s">
        <v>2030</v>
      </c>
      <c r="BH19" s="1703" t="s">
        <v>1669</v>
      </c>
      <c r="BI19" s="2084">
        <v>1</v>
      </c>
      <c r="BJ19" s="2183">
        <f t="shared" si="5"/>
        <v>1</v>
      </c>
      <c r="BK19" s="2175">
        <v>1</v>
      </c>
      <c r="BL19" s="2183">
        <v>1</v>
      </c>
      <c r="BM19" s="2085">
        <v>1</v>
      </c>
      <c r="BN19" s="2085">
        <v>1</v>
      </c>
      <c r="BO19" s="2307">
        <v>0</v>
      </c>
      <c r="BP19" s="2084" t="s">
        <v>1090</v>
      </c>
      <c r="BQ19" s="2178" t="s">
        <v>2627</v>
      </c>
      <c r="BR19" s="1988" t="s">
        <v>1669</v>
      </c>
      <c r="BS19" s="2373">
        <f t="shared" si="9"/>
        <v>1</v>
      </c>
      <c r="BT19" s="2379">
        <f t="shared" si="6"/>
        <v>1</v>
      </c>
      <c r="BU19" s="2382">
        <v>1</v>
      </c>
      <c r="BV19" s="2379">
        <f t="shared" si="10"/>
        <v>1</v>
      </c>
      <c r="BW19" s="2373">
        <v>1</v>
      </c>
      <c r="BX19" s="2373">
        <v>1</v>
      </c>
      <c r="BY19" s="2380"/>
      <c r="BZ19" s="2339"/>
      <c r="CA19" s="2381" t="s">
        <v>2863</v>
      </c>
      <c r="CB19" s="2376" t="s">
        <v>1770</v>
      </c>
    </row>
    <row r="20" spans="1:80" s="606" customFormat="1" ht="26.25" thickBot="1">
      <c r="A20" s="2655"/>
      <c r="B20" s="2655"/>
      <c r="C20" s="2710"/>
      <c r="D20" s="2713"/>
      <c r="E20" s="104" t="s">
        <v>808</v>
      </c>
      <c r="F20" s="112">
        <v>2</v>
      </c>
      <c r="G20" s="104" t="s">
        <v>1226</v>
      </c>
      <c r="H20" s="40" t="s">
        <v>1227</v>
      </c>
      <c r="I20" s="262">
        <v>10</v>
      </c>
      <c r="J20" s="42" t="s">
        <v>1228</v>
      </c>
      <c r="K20" s="43">
        <v>42019</v>
      </c>
      <c r="L20" s="43">
        <v>42353</v>
      </c>
      <c r="M20" s="44"/>
      <c r="N20" s="44"/>
      <c r="O20" s="44"/>
      <c r="P20" s="44"/>
      <c r="Q20" s="44"/>
      <c r="R20" s="44">
        <v>1</v>
      </c>
      <c r="S20" s="44"/>
      <c r="T20" s="44"/>
      <c r="U20" s="44"/>
      <c r="V20" s="44"/>
      <c r="W20" s="44">
        <v>1</v>
      </c>
      <c r="X20" s="44"/>
      <c r="Y20" s="506">
        <f aca="true" t="shared" si="15" ref="Y20:Y24">SUM(M20:X20)</f>
        <v>2</v>
      </c>
      <c r="Z20" s="75">
        <v>0</v>
      </c>
      <c r="AA20" s="610"/>
      <c r="AB20" s="1216">
        <v>0</v>
      </c>
      <c r="AC20" s="1216">
        <v>0</v>
      </c>
      <c r="AD20" s="626"/>
      <c r="AE20" s="626"/>
      <c r="AF20" s="627"/>
      <c r="AG20" s="627"/>
      <c r="AH20" s="628"/>
      <c r="AI20" s="628"/>
      <c r="AJ20" s="629"/>
      <c r="AK20" s="629"/>
      <c r="AL20" s="630"/>
      <c r="AM20" s="630"/>
      <c r="AN20" s="1266">
        <f t="shared" si="0"/>
        <v>0</v>
      </c>
      <c r="AO20" s="645">
        <f t="shared" si="1"/>
        <v>0</v>
      </c>
      <c r="AP20" s="1269">
        <f>SUM(AB20:AC20)</f>
        <v>0</v>
      </c>
      <c r="AQ20" s="645" t="s">
        <v>1090</v>
      </c>
      <c r="AR20" s="1271">
        <f t="shared" si="2"/>
        <v>0</v>
      </c>
      <c r="AS20" s="1647" t="str">
        <f t="shared" si="3"/>
        <v>-</v>
      </c>
      <c r="AT20" s="1647">
        <f t="shared" si="7"/>
        <v>0</v>
      </c>
      <c r="AU20" s="1215">
        <v>0</v>
      </c>
      <c r="AV20" s="624">
        <v>0</v>
      </c>
      <c r="AW20" s="623" t="s">
        <v>1669</v>
      </c>
      <c r="AX20" s="623" t="s">
        <v>1669</v>
      </c>
      <c r="AY20" s="1706">
        <f t="shared" si="12"/>
        <v>0</v>
      </c>
      <c r="AZ20" s="1707">
        <f t="shared" si="4"/>
        <v>0</v>
      </c>
      <c r="BA20" s="1701">
        <v>0</v>
      </c>
      <c r="BB20" s="1709" t="s">
        <v>1090</v>
      </c>
      <c r="BC20" s="1709">
        <f t="shared" si="8"/>
        <v>0</v>
      </c>
      <c r="BD20" s="1710">
        <v>0</v>
      </c>
      <c r="BE20" s="1745">
        <v>0</v>
      </c>
      <c r="BF20" s="1711"/>
      <c r="BG20" s="1703" t="s">
        <v>1669</v>
      </c>
      <c r="BH20" s="1703" t="s">
        <v>1669</v>
      </c>
      <c r="BI20" s="2084">
        <v>1</v>
      </c>
      <c r="BJ20" s="2183">
        <f t="shared" si="5"/>
        <v>1</v>
      </c>
      <c r="BK20" s="2084">
        <v>1</v>
      </c>
      <c r="BL20" s="2183" t="s">
        <v>1090</v>
      </c>
      <c r="BM20" s="2085">
        <v>0.5</v>
      </c>
      <c r="BN20" s="2085">
        <v>0.5</v>
      </c>
      <c r="BO20" s="2307">
        <v>0</v>
      </c>
      <c r="BP20" s="2084" t="s">
        <v>1090</v>
      </c>
      <c r="BQ20" s="2178" t="s">
        <v>2628</v>
      </c>
      <c r="BR20" s="1988" t="s">
        <v>1669</v>
      </c>
      <c r="BS20" s="2339">
        <f t="shared" si="9"/>
        <v>1</v>
      </c>
      <c r="BT20" s="2379">
        <f t="shared" si="6"/>
        <v>1</v>
      </c>
      <c r="BU20" s="2339">
        <v>1</v>
      </c>
      <c r="BV20" s="2379">
        <f t="shared" si="10"/>
        <v>1</v>
      </c>
      <c r="BW20" s="2373">
        <v>0.5</v>
      </c>
      <c r="BX20" s="2373">
        <f>BU20/Y20</f>
        <v>0.5</v>
      </c>
      <c r="BY20" s="2380"/>
      <c r="BZ20" s="2339"/>
      <c r="CA20" s="2381" t="s">
        <v>1669</v>
      </c>
      <c r="CB20" s="2376" t="s">
        <v>1770</v>
      </c>
    </row>
    <row r="21" spans="1:80" s="606" customFormat="1" ht="77.25" customHeight="1" thickBot="1">
      <c r="A21" s="2655"/>
      <c r="B21" s="2655"/>
      <c r="C21" s="2710"/>
      <c r="D21" s="2712" t="s">
        <v>1229</v>
      </c>
      <c r="E21" s="104" t="s">
        <v>1224</v>
      </c>
      <c r="F21" s="112">
        <v>1</v>
      </c>
      <c r="G21" s="104" t="s">
        <v>1230</v>
      </c>
      <c r="H21" s="40" t="s">
        <v>1227</v>
      </c>
      <c r="I21" s="262">
        <v>10</v>
      </c>
      <c r="J21" s="42" t="s">
        <v>1224</v>
      </c>
      <c r="K21" s="43">
        <v>42019</v>
      </c>
      <c r="L21" s="43">
        <v>42093</v>
      </c>
      <c r="M21" s="44"/>
      <c r="N21" s="44"/>
      <c r="O21" s="44">
        <v>1</v>
      </c>
      <c r="P21" s="44"/>
      <c r="Q21" s="44"/>
      <c r="R21" s="44"/>
      <c r="S21" s="44"/>
      <c r="T21" s="44"/>
      <c r="U21" s="44"/>
      <c r="V21" s="44"/>
      <c r="W21" s="44"/>
      <c r="X21" s="44"/>
      <c r="Y21" s="506">
        <f t="shared" si="15"/>
        <v>1</v>
      </c>
      <c r="Z21" s="75">
        <v>0</v>
      </c>
      <c r="AA21" s="610"/>
      <c r="AB21" s="1216">
        <v>0</v>
      </c>
      <c r="AC21" s="1216">
        <v>0.9</v>
      </c>
      <c r="AD21" s="626"/>
      <c r="AE21" s="626"/>
      <c r="AF21" s="627"/>
      <c r="AG21" s="627"/>
      <c r="AH21" s="628"/>
      <c r="AI21" s="628"/>
      <c r="AJ21" s="629"/>
      <c r="AK21" s="629"/>
      <c r="AL21" s="630"/>
      <c r="AM21" s="630"/>
      <c r="AN21" s="1266">
        <f t="shared" si="0"/>
        <v>0</v>
      </c>
      <c r="AO21" s="645">
        <f t="shared" si="1"/>
        <v>0</v>
      </c>
      <c r="AP21" s="1270">
        <v>0.9</v>
      </c>
      <c r="AQ21" s="645" t="s">
        <v>1090</v>
      </c>
      <c r="AR21" s="1271">
        <f t="shared" si="2"/>
        <v>0.9</v>
      </c>
      <c r="AS21" s="1647" t="str">
        <f t="shared" si="3"/>
        <v>-</v>
      </c>
      <c r="AT21" s="1647">
        <f t="shared" si="7"/>
        <v>0.9</v>
      </c>
      <c r="AU21" s="1215">
        <v>0</v>
      </c>
      <c r="AV21" s="624">
        <v>0</v>
      </c>
      <c r="AW21" s="623" t="s">
        <v>1779</v>
      </c>
      <c r="AX21" s="623" t="s">
        <v>1669</v>
      </c>
      <c r="AY21" s="1706">
        <f t="shared" si="12"/>
        <v>1</v>
      </c>
      <c r="AZ21" s="1707">
        <f t="shared" si="4"/>
        <v>1</v>
      </c>
      <c r="BA21" s="1701">
        <v>1</v>
      </c>
      <c r="BB21" s="1709">
        <f t="shared" si="13"/>
        <v>1</v>
      </c>
      <c r="BC21" s="1709">
        <f t="shared" si="8"/>
        <v>1</v>
      </c>
      <c r="BD21" s="1710">
        <f t="shared" si="14"/>
        <v>1</v>
      </c>
      <c r="BE21" s="1745">
        <v>0</v>
      </c>
      <c r="BF21" s="1711"/>
      <c r="BG21" s="1703" t="s">
        <v>2031</v>
      </c>
      <c r="BH21" s="1703" t="s">
        <v>1669</v>
      </c>
      <c r="BI21" s="2084">
        <v>1</v>
      </c>
      <c r="BJ21" s="2183">
        <f t="shared" si="5"/>
        <v>1</v>
      </c>
      <c r="BK21" s="2084">
        <v>1</v>
      </c>
      <c r="BL21" s="2183">
        <v>1</v>
      </c>
      <c r="BM21" s="2085">
        <v>1</v>
      </c>
      <c r="BN21" s="2085">
        <v>1</v>
      </c>
      <c r="BO21" s="2307">
        <v>0</v>
      </c>
      <c r="BP21" s="2084" t="s">
        <v>1090</v>
      </c>
      <c r="BQ21" s="2178" t="s">
        <v>2627</v>
      </c>
      <c r="BR21" s="1988" t="s">
        <v>1669</v>
      </c>
      <c r="BS21" s="2339">
        <f t="shared" si="9"/>
        <v>1</v>
      </c>
      <c r="BT21" s="2379">
        <f t="shared" si="6"/>
        <v>1</v>
      </c>
      <c r="BU21" s="2339">
        <v>1</v>
      </c>
      <c r="BV21" s="2379">
        <f t="shared" si="10"/>
        <v>1</v>
      </c>
      <c r="BW21" s="2373">
        <v>1</v>
      </c>
      <c r="BX21" s="2373">
        <v>1</v>
      </c>
      <c r="BY21" s="2380"/>
      <c r="BZ21" s="2339"/>
      <c r="CA21" s="2381" t="s">
        <v>2863</v>
      </c>
      <c r="CB21" s="2376" t="s">
        <v>1770</v>
      </c>
    </row>
    <row r="22" spans="1:80" s="606" customFormat="1" ht="26.25" thickBot="1">
      <c r="A22" s="2655"/>
      <c r="B22" s="2655"/>
      <c r="C22" s="2710"/>
      <c r="D22" s="2713"/>
      <c r="E22" s="104" t="s">
        <v>808</v>
      </c>
      <c r="F22" s="112">
        <v>2</v>
      </c>
      <c r="G22" s="104" t="s">
        <v>1231</v>
      </c>
      <c r="H22" s="40" t="s">
        <v>1227</v>
      </c>
      <c r="I22" s="262">
        <v>10</v>
      </c>
      <c r="J22" s="42" t="s">
        <v>1228</v>
      </c>
      <c r="K22" s="43">
        <v>42019</v>
      </c>
      <c r="L22" s="43">
        <v>42353</v>
      </c>
      <c r="M22" s="44"/>
      <c r="N22" s="44"/>
      <c r="O22" s="44"/>
      <c r="P22" s="44"/>
      <c r="Q22" s="44"/>
      <c r="R22" s="44">
        <v>1</v>
      </c>
      <c r="S22" s="44"/>
      <c r="T22" s="44"/>
      <c r="U22" s="44"/>
      <c r="V22" s="44"/>
      <c r="W22" s="44">
        <v>1</v>
      </c>
      <c r="X22" s="44"/>
      <c r="Y22" s="506">
        <f t="shared" si="15"/>
        <v>2</v>
      </c>
      <c r="Z22" s="75">
        <v>0</v>
      </c>
      <c r="AA22" s="610"/>
      <c r="AB22" s="1216">
        <v>0</v>
      </c>
      <c r="AC22" s="1216">
        <v>0</v>
      </c>
      <c r="AD22" s="626"/>
      <c r="AE22" s="626"/>
      <c r="AF22" s="627"/>
      <c r="AG22" s="627"/>
      <c r="AH22" s="628"/>
      <c r="AI22" s="628"/>
      <c r="AJ22" s="629"/>
      <c r="AK22" s="629"/>
      <c r="AL22" s="630"/>
      <c r="AM22" s="630"/>
      <c r="AN22" s="1266">
        <f>SUM(M22:N22)</f>
        <v>0</v>
      </c>
      <c r="AO22" s="645">
        <f t="shared" si="1"/>
        <v>0</v>
      </c>
      <c r="AP22" s="1268">
        <f>SUM(AB22:AC22)</f>
        <v>0</v>
      </c>
      <c r="AQ22" s="645" t="s">
        <v>1090</v>
      </c>
      <c r="AR22" s="1271">
        <f t="shared" si="2"/>
        <v>0</v>
      </c>
      <c r="AS22" s="1647" t="str">
        <f t="shared" si="3"/>
        <v>-</v>
      </c>
      <c r="AT22" s="1647">
        <f t="shared" si="7"/>
        <v>0</v>
      </c>
      <c r="AU22" s="1215">
        <v>0</v>
      </c>
      <c r="AV22" s="624">
        <v>0</v>
      </c>
      <c r="AW22" s="623" t="s">
        <v>1669</v>
      </c>
      <c r="AX22" s="623" t="s">
        <v>1669</v>
      </c>
      <c r="AY22" s="1706">
        <f t="shared" si="12"/>
        <v>0</v>
      </c>
      <c r="AZ22" s="1707">
        <f t="shared" si="4"/>
        <v>0</v>
      </c>
      <c r="BA22" s="1701">
        <v>0</v>
      </c>
      <c r="BB22" s="1709" t="s">
        <v>1090</v>
      </c>
      <c r="BC22" s="1709">
        <f t="shared" si="8"/>
        <v>0</v>
      </c>
      <c r="BD22" s="1710">
        <v>0</v>
      </c>
      <c r="BE22" s="1745">
        <v>0</v>
      </c>
      <c r="BF22" s="1711"/>
      <c r="BG22" s="1703" t="s">
        <v>1669</v>
      </c>
      <c r="BH22" s="1703" t="s">
        <v>1669</v>
      </c>
      <c r="BI22" s="2084">
        <v>1</v>
      </c>
      <c r="BJ22" s="2183">
        <f t="shared" si="5"/>
        <v>1</v>
      </c>
      <c r="BK22" s="2084">
        <v>1</v>
      </c>
      <c r="BL22" s="2183">
        <v>1</v>
      </c>
      <c r="BM22" s="2085">
        <v>0.5</v>
      </c>
      <c r="BN22" s="2085">
        <v>0.5</v>
      </c>
      <c r="BO22" s="2307">
        <v>0</v>
      </c>
      <c r="BP22" s="2084" t="s">
        <v>1090</v>
      </c>
      <c r="BQ22" s="2178" t="s">
        <v>2629</v>
      </c>
      <c r="BR22" s="1988" t="s">
        <v>1669</v>
      </c>
      <c r="BS22" s="2339">
        <f t="shared" si="9"/>
        <v>1</v>
      </c>
      <c r="BT22" s="2379">
        <f t="shared" si="6"/>
        <v>1</v>
      </c>
      <c r="BU22" s="2339">
        <v>1</v>
      </c>
      <c r="BV22" s="2379">
        <f t="shared" si="10"/>
        <v>1</v>
      </c>
      <c r="BW22" s="2373">
        <v>0.5</v>
      </c>
      <c r="BX22" s="2373">
        <f>BU22/Y22</f>
        <v>0.5</v>
      </c>
      <c r="BY22" s="2380"/>
      <c r="BZ22" s="2339"/>
      <c r="CA22" s="2381" t="s">
        <v>1669</v>
      </c>
      <c r="CB22" s="2376" t="s">
        <v>1770</v>
      </c>
    </row>
    <row r="23" spans="1:80" s="606" customFormat="1" ht="87" customHeight="1" thickBot="1">
      <c r="A23" s="2655"/>
      <c r="B23" s="2655"/>
      <c r="C23" s="2710"/>
      <c r="D23" s="2712" t="s">
        <v>1233</v>
      </c>
      <c r="E23" s="104" t="s">
        <v>1224</v>
      </c>
      <c r="F23" s="112">
        <v>1</v>
      </c>
      <c r="G23" s="104" t="s">
        <v>1230</v>
      </c>
      <c r="H23" s="40" t="s">
        <v>1227</v>
      </c>
      <c r="I23" s="262">
        <v>10</v>
      </c>
      <c r="J23" s="42" t="s">
        <v>1224</v>
      </c>
      <c r="K23" s="43">
        <v>42019</v>
      </c>
      <c r="L23" s="43">
        <v>42093</v>
      </c>
      <c r="M23" s="44"/>
      <c r="N23" s="44">
        <v>1</v>
      </c>
      <c r="O23" s="44"/>
      <c r="P23" s="44"/>
      <c r="Q23" s="44"/>
      <c r="R23" s="44"/>
      <c r="S23" s="44"/>
      <c r="T23" s="44"/>
      <c r="U23" s="44"/>
      <c r="V23" s="44"/>
      <c r="W23" s="44"/>
      <c r="X23" s="44"/>
      <c r="Y23" s="506">
        <f t="shared" si="15"/>
        <v>1</v>
      </c>
      <c r="Z23" s="75">
        <v>0</v>
      </c>
      <c r="AA23" s="610"/>
      <c r="AB23" s="1216">
        <v>0</v>
      </c>
      <c r="AC23" s="1216">
        <v>0.9</v>
      </c>
      <c r="AD23" s="626"/>
      <c r="AE23" s="626"/>
      <c r="AF23" s="627"/>
      <c r="AG23" s="627"/>
      <c r="AH23" s="628"/>
      <c r="AI23" s="628"/>
      <c r="AJ23" s="629"/>
      <c r="AK23" s="629"/>
      <c r="AL23" s="630"/>
      <c r="AM23" s="630"/>
      <c r="AN23" s="1266">
        <f t="shared" si="0"/>
        <v>1</v>
      </c>
      <c r="AO23" s="645">
        <f t="shared" si="1"/>
        <v>1</v>
      </c>
      <c r="AP23" s="1270">
        <v>0.9</v>
      </c>
      <c r="AQ23" s="645">
        <f t="shared" si="11"/>
        <v>0.9</v>
      </c>
      <c r="AR23" s="1271">
        <f t="shared" si="2"/>
        <v>0.9</v>
      </c>
      <c r="AS23" s="1647">
        <f t="shared" si="3"/>
        <v>0.9</v>
      </c>
      <c r="AT23" s="1647">
        <f t="shared" si="7"/>
        <v>0.9</v>
      </c>
      <c r="AU23" s="1215">
        <v>0</v>
      </c>
      <c r="AV23" s="624">
        <v>0</v>
      </c>
      <c r="AW23" s="623" t="s">
        <v>1780</v>
      </c>
      <c r="AX23" s="623" t="s">
        <v>1675</v>
      </c>
      <c r="AY23" s="1706">
        <f t="shared" si="12"/>
        <v>1</v>
      </c>
      <c r="AZ23" s="1707">
        <f t="shared" si="4"/>
        <v>1</v>
      </c>
      <c r="BA23" s="1701">
        <v>1</v>
      </c>
      <c r="BB23" s="1709">
        <f t="shared" si="13"/>
        <v>1</v>
      </c>
      <c r="BC23" s="1709">
        <f t="shared" si="8"/>
        <v>1</v>
      </c>
      <c r="BD23" s="1710">
        <f t="shared" si="14"/>
        <v>1</v>
      </c>
      <c r="BE23" s="1745">
        <v>0</v>
      </c>
      <c r="BF23" s="1711"/>
      <c r="BG23" s="1703" t="s">
        <v>2032</v>
      </c>
      <c r="BH23" s="1703" t="s">
        <v>1669</v>
      </c>
      <c r="BI23" s="2084">
        <v>1</v>
      </c>
      <c r="BJ23" s="2183">
        <f t="shared" si="5"/>
        <v>1</v>
      </c>
      <c r="BK23" s="2084">
        <v>1</v>
      </c>
      <c r="BL23" s="2183">
        <v>1</v>
      </c>
      <c r="BM23" s="2085">
        <v>1</v>
      </c>
      <c r="BN23" s="2085">
        <v>1</v>
      </c>
      <c r="BO23" s="2307">
        <v>0</v>
      </c>
      <c r="BP23" s="2084" t="s">
        <v>1090</v>
      </c>
      <c r="BQ23" s="2178" t="s">
        <v>2627</v>
      </c>
      <c r="BR23" s="1988" t="s">
        <v>1669</v>
      </c>
      <c r="BS23" s="2339">
        <f t="shared" si="9"/>
        <v>1</v>
      </c>
      <c r="BT23" s="2379">
        <f t="shared" si="6"/>
        <v>1</v>
      </c>
      <c r="BU23" s="2339">
        <v>1</v>
      </c>
      <c r="BV23" s="2379">
        <f t="shared" si="10"/>
        <v>1</v>
      </c>
      <c r="BW23" s="2373">
        <v>1</v>
      </c>
      <c r="BX23" s="2373">
        <v>1</v>
      </c>
      <c r="BY23" s="2380"/>
      <c r="BZ23" s="2339"/>
      <c r="CA23" s="2381" t="s">
        <v>2863</v>
      </c>
      <c r="CB23" s="2376" t="s">
        <v>1770</v>
      </c>
    </row>
    <row r="24" spans="1:80" s="606" customFormat="1" ht="26.25" thickBot="1">
      <c r="A24" s="2655"/>
      <c r="B24" s="2655"/>
      <c r="C24" s="2711"/>
      <c r="D24" s="2713"/>
      <c r="E24" s="104" t="s">
        <v>808</v>
      </c>
      <c r="F24" s="112">
        <v>2</v>
      </c>
      <c r="G24" s="104" t="s">
        <v>1226</v>
      </c>
      <c r="H24" s="40" t="s">
        <v>1227</v>
      </c>
      <c r="I24" s="262">
        <v>10</v>
      </c>
      <c r="J24" s="42" t="s">
        <v>1228</v>
      </c>
      <c r="K24" s="43">
        <v>42019</v>
      </c>
      <c r="L24" s="43">
        <v>42353</v>
      </c>
      <c r="M24" s="44"/>
      <c r="N24" s="44"/>
      <c r="O24" s="44"/>
      <c r="P24" s="44"/>
      <c r="Q24" s="44"/>
      <c r="R24" s="44">
        <v>1</v>
      </c>
      <c r="S24" s="44"/>
      <c r="T24" s="44"/>
      <c r="U24" s="44"/>
      <c r="V24" s="44"/>
      <c r="W24" s="44">
        <v>1</v>
      </c>
      <c r="X24" s="44"/>
      <c r="Y24" s="506">
        <f t="shared" si="15"/>
        <v>2</v>
      </c>
      <c r="Z24" s="75">
        <v>0</v>
      </c>
      <c r="AA24" s="610"/>
      <c r="AB24" s="1216">
        <v>0</v>
      </c>
      <c r="AC24" s="1216">
        <v>0</v>
      </c>
      <c r="AD24" s="626"/>
      <c r="AE24" s="626"/>
      <c r="AF24" s="627"/>
      <c r="AG24" s="627"/>
      <c r="AH24" s="628"/>
      <c r="AI24" s="628"/>
      <c r="AJ24" s="629"/>
      <c r="AK24" s="629"/>
      <c r="AL24" s="630"/>
      <c r="AM24" s="630"/>
      <c r="AN24" s="1266">
        <f t="shared" si="0"/>
        <v>0</v>
      </c>
      <c r="AO24" s="645">
        <f t="shared" si="1"/>
        <v>0</v>
      </c>
      <c r="AP24" s="1269">
        <f>SUM(AB24:AC24)</f>
        <v>0</v>
      </c>
      <c r="AQ24" s="645" t="s">
        <v>1090</v>
      </c>
      <c r="AR24" s="1271">
        <f t="shared" si="2"/>
        <v>0</v>
      </c>
      <c r="AS24" s="1647" t="str">
        <f t="shared" si="3"/>
        <v>-</v>
      </c>
      <c r="AT24" s="1647">
        <f t="shared" si="7"/>
        <v>0</v>
      </c>
      <c r="AU24" s="1215">
        <v>0</v>
      </c>
      <c r="AV24" s="624">
        <v>0</v>
      </c>
      <c r="AW24" s="623" t="s">
        <v>1669</v>
      </c>
      <c r="AX24" s="623" t="s">
        <v>1669</v>
      </c>
      <c r="AY24" s="1706">
        <f t="shared" si="12"/>
        <v>0</v>
      </c>
      <c r="AZ24" s="1707">
        <f t="shared" si="4"/>
        <v>0</v>
      </c>
      <c r="BA24" s="1701">
        <v>0</v>
      </c>
      <c r="BB24" s="1709" t="s">
        <v>1090</v>
      </c>
      <c r="BC24" s="1709">
        <f t="shared" si="8"/>
        <v>0</v>
      </c>
      <c r="BD24" s="1710">
        <v>0</v>
      </c>
      <c r="BE24" s="1745">
        <v>0</v>
      </c>
      <c r="BF24" s="1711"/>
      <c r="BG24" s="1703" t="s">
        <v>1669</v>
      </c>
      <c r="BH24" s="1703" t="s">
        <v>1669</v>
      </c>
      <c r="BI24" s="2084">
        <v>1</v>
      </c>
      <c r="BJ24" s="2183">
        <f t="shared" si="5"/>
        <v>1</v>
      </c>
      <c r="BK24" s="2084">
        <v>1</v>
      </c>
      <c r="BL24" s="2183">
        <v>1</v>
      </c>
      <c r="BM24" s="2085">
        <v>0.5</v>
      </c>
      <c r="BN24" s="2085">
        <v>0.5</v>
      </c>
      <c r="BO24" s="2307">
        <v>0</v>
      </c>
      <c r="BP24" s="2084" t="s">
        <v>1090</v>
      </c>
      <c r="BQ24" s="2178" t="s">
        <v>2629</v>
      </c>
      <c r="BR24" s="1988" t="s">
        <v>1669</v>
      </c>
      <c r="BS24" s="2339">
        <f t="shared" si="9"/>
        <v>1</v>
      </c>
      <c r="BT24" s="2379">
        <f t="shared" si="6"/>
        <v>1</v>
      </c>
      <c r="BU24" s="2339">
        <v>1</v>
      </c>
      <c r="BV24" s="2379">
        <f t="shared" si="10"/>
        <v>1</v>
      </c>
      <c r="BW24" s="2373">
        <v>0.5</v>
      </c>
      <c r="BX24" s="2373">
        <f>BU24/Y24</f>
        <v>0.5</v>
      </c>
      <c r="BY24" s="2380"/>
      <c r="BZ24" s="2339"/>
      <c r="CA24" s="2381" t="s">
        <v>1669</v>
      </c>
      <c r="CB24" s="2376" t="s">
        <v>1770</v>
      </c>
    </row>
    <row r="25" spans="1:80" s="606" customFormat="1" ht="20.1" customHeight="1" thickBot="1">
      <c r="A25" s="2652" t="s">
        <v>130</v>
      </c>
      <c r="B25" s="2653"/>
      <c r="C25" s="2653"/>
      <c r="D25" s="2654"/>
      <c r="E25" s="1194"/>
      <c r="F25" s="1194"/>
      <c r="G25" s="1194"/>
      <c r="H25" s="1194"/>
      <c r="I25" s="1194">
        <f>SUM(I16:I24)</f>
        <v>100</v>
      </c>
      <c r="J25" s="1194"/>
      <c r="K25" s="1194"/>
      <c r="L25" s="1194"/>
      <c r="M25" s="1194"/>
      <c r="N25" s="1194"/>
      <c r="O25" s="1194"/>
      <c r="P25" s="1194"/>
      <c r="Q25" s="1194"/>
      <c r="R25" s="1194"/>
      <c r="S25" s="1194"/>
      <c r="T25" s="1194"/>
      <c r="U25" s="1194"/>
      <c r="V25" s="1194"/>
      <c r="W25" s="1194"/>
      <c r="X25" s="1194"/>
      <c r="Y25" s="1194"/>
      <c r="Z25" s="489">
        <f>SUM(Z16:Z24)</f>
        <v>0</v>
      </c>
      <c r="AA25" s="1195"/>
      <c r="AB25" s="1219"/>
      <c r="AC25" s="1219"/>
      <c r="AD25" s="635"/>
      <c r="AE25" s="635"/>
      <c r="AF25" s="635"/>
      <c r="AG25" s="635"/>
      <c r="AH25" s="635"/>
      <c r="AI25" s="635"/>
      <c r="AJ25" s="635"/>
      <c r="AK25" s="635"/>
      <c r="AL25" s="635"/>
      <c r="AM25" s="635"/>
      <c r="AN25" s="636"/>
      <c r="AO25" s="1272">
        <f>AVERAGEIF(AO16:AO24,"&gt;0")</f>
        <v>1</v>
      </c>
      <c r="AP25" s="1272"/>
      <c r="AQ25" s="1272">
        <f>AVERAGE(AQ16:AQ24)</f>
        <v>0.94</v>
      </c>
      <c r="AR25" s="1272"/>
      <c r="AS25" s="1272">
        <f>AVERAGEIF(AS10:AS24,"&gt;=0")</f>
        <v>0.94</v>
      </c>
      <c r="AT25" s="1261">
        <f>AVERAGE(AT16:AT24)</f>
        <v>0.37555555555555553</v>
      </c>
      <c r="AU25" s="1220">
        <f>SUM(AU16:AU24)</f>
        <v>0</v>
      </c>
      <c r="AV25" s="1272" t="e">
        <f>AVERAGEIF(AV10:AV24,"&gt;0")</f>
        <v>#DIV/0!</v>
      </c>
      <c r="AW25" s="1262"/>
      <c r="AX25" s="637"/>
      <c r="AY25" s="638"/>
      <c r="AZ25" s="1719">
        <f>AVERAGEIF(AZ16:AZ24,"&gt;0")</f>
        <v>1</v>
      </c>
      <c r="BA25" s="637"/>
      <c r="BB25" s="1719">
        <f>AVERAGE(BB16:BB24)</f>
        <v>1</v>
      </c>
      <c r="BC25" s="637"/>
      <c r="BD25" s="1720">
        <f>AVERAGE(BD16:BD24)</f>
        <v>0.4444444444444444</v>
      </c>
      <c r="BE25" s="637"/>
      <c r="BF25" s="638"/>
      <c r="BG25" s="637"/>
      <c r="BH25" s="637"/>
      <c r="BI25" s="636"/>
      <c r="BJ25" s="1719">
        <v>1</v>
      </c>
      <c r="BK25" s="636"/>
      <c r="BL25" s="1262">
        <f>AVERAGE(BL16:BL24)</f>
        <v>1</v>
      </c>
      <c r="BM25" s="1261"/>
      <c r="BN25" s="1262">
        <f>AVERAGE(BN16:BN24)</f>
        <v>0.8333333333333334</v>
      </c>
      <c r="BO25" s="2179"/>
      <c r="BP25" s="2179"/>
      <c r="BQ25" s="2179"/>
      <c r="BR25" s="2180"/>
      <c r="BS25" s="636"/>
      <c r="BT25" s="1719">
        <v>1</v>
      </c>
      <c r="BU25" s="636"/>
      <c r="BV25" s="1262">
        <f>AVERAGE(BV16:BV24)</f>
        <v>1</v>
      </c>
      <c r="BW25" s="1261"/>
      <c r="BX25" s="1262">
        <f>AVERAGE(BX16:BX24)</f>
        <v>0.8333333333333334</v>
      </c>
      <c r="BY25" s="2179"/>
      <c r="BZ25" s="2179"/>
      <c r="CA25" s="2179"/>
      <c r="CB25" s="2180"/>
    </row>
    <row r="26" spans="1:80" s="606" customFormat="1" ht="118.5" customHeight="1" thickBot="1">
      <c r="A26" s="2658">
        <v>2</v>
      </c>
      <c r="B26" s="2658" t="s">
        <v>628</v>
      </c>
      <c r="C26" s="639" t="s">
        <v>1145</v>
      </c>
      <c r="D26" s="107" t="s">
        <v>2865</v>
      </c>
      <c r="E26" s="216" t="s">
        <v>1235</v>
      </c>
      <c r="F26" s="510">
        <v>1</v>
      </c>
      <c r="G26" s="216" t="s">
        <v>1236</v>
      </c>
      <c r="H26" s="40" t="s">
        <v>1227</v>
      </c>
      <c r="I26" s="251">
        <f>100%/14</f>
        <v>0.07142857142857142</v>
      </c>
      <c r="J26" s="55" t="s">
        <v>1235</v>
      </c>
      <c r="K26" s="56">
        <v>42019</v>
      </c>
      <c r="L26" s="56">
        <v>42185</v>
      </c>
      <c r="M26" s="57"/>
      <c r="N26" s="57"/>
      <c r="O26" s="57"/>
      <c r="P26" s="57"/>
      <c r="Q26" s="57"/>
      <c r="R26" s="57"/>
      <c r="S26" s="57"/>
      <c r="T26" s="57"/>
      <c r="U26" s="57"/>
      <c r="V26" s="57"/>
      <c r="W26" s="57"/>
      <c r="X26" s="57">
        <v>1</v>
      </c>
      <c r="Y26" s="506">
        <f>SUM(M26:X26)</f>
        <v>1</v>
      </c>
      <c r="Z26" s="75">
        <v>0</v>
      </c>
      <c r="AA26" s="97"/>
      <c r="AB26" s="1214">
        <v>0</v>
      </c>
      <c r="AC26" s="1214">
        <v>0</v>
      </c>
      <c r="AD26" s="616"/>
      <c r="AE26" s="616"/>
      <c r="AF26" s="617"/>
      <c r="AG26" s="617"/>
      <c r="AH26" s="618"/>
      <c r="AI26" s="618"/>
      <c r="AJ26" s="619"/>
      <c r="AK26" s="619"/>
      <c r="AL26" s="620"/>
      <c r="AM26" s="620"/>
      <c r="AN26" s="634">
        <f t="shared" si="0"/>
        <v>0</v>
      </c>
      <c r="AO26" s="645">
        <f t="shared" si="1"/>
        <v>0</v>
      </c>
      <c r="AP26" s="1273">
        <f aca="true" t="shared" si="16" ref="AP26:AP35">SUM(AB26:AC26)</f>
        <v>0</v>
      </c>
      <c r="AQ26" s="645" t="s">
        <v>1090</v>
      </c>
      <c r="AR26" s="622">
        <f aca="true" t="shared" si="17" ref="AR26:AR35">+AP26/Y26</f>
        <v>0</v>
      </c>
      <c r="AS26" s="1647" t="str">
        <f t="shared" si="3"/>
        <v>-</v>
      </c>
      <c r="AT26" s="1647">
        <f>AR26</f>
        <v>0</v>
      </c>
      <c r="AU26" s="1215">
        <v>0</v>
      </c>
      <c r="AV26" s="624">
        <v>0</v>
      </c>
      <c r="AW26" s="623" t="s">
        <v>1669</v>
      </c>
      <c r="AX26" s="623" t="s">
        <v>1669</v>
      </c>
      <c r="AY26" s="1688">
        <f>SUM(M26:P26)</f>
        <v>0</v>
      </c>
      <c r="AZ26" s="1707">
        <f t="shared" si="4"/>
        <v>0</v>
      </c>
      <c r="BA26" s="1701">
        <v>0</v>
      </c>
      <c r="BB26" s="1709" t="s">
        <v>1090</v>
      </c>
      <c r="BC26" s="1709">
        <f>BA26/Y26</f>
        <v>0</v>
      </c>
      <c r="BD26" s="1710">
        <v>0</v>
      </c>
      <c r="BE26" s="1745">
        <v>0</v>
      </c>
      <c r="BF26" s="1711"/>
      <c r="BG26" s="1703" t="s">
        <v>1669</v>
      </c>
      <c r="BH26" s="1703" t="s">
        <v>1669</v>
      </c>
      <c r="BI26" s="2184">
        <v>1</v>
      </c>
      <c r="BJ26" s="2183">
        <f t="shared" si="5"/>
        <v>1</v>
      </c>
      <c r="BK26" s="2176">
        <v>0</v>
      </c>
      <c r="BL26" s="2183">
        <v>0</v>
      </c>
      <c r="BM26" s="2177">
        <v>0</v>
      </c>
      <c r="BN26" s="2177">
        <v>0</v>
      </c>
      <c r="BO26" s="2307">
        <v>0</v>
      </c>
      <c r="BP26" s="2084" t="s">
        <v>1090</v>
      </c>
      <c r="BQ26" s="2181" t="s">
        <v>1669</v>
      </c>
      <c r="BR26" s="2182" t="s">
        <v>1669</v>
      </c>
      <c r="BS26" s="2377">
        <f>SUM(M26:T26)</f>
        <v>0</v>
      </c>
      <c r="BT26" s="2379">
        <f t="shared" si="6"/>
        <v>0</v>
      </c>
      <c r="BU26" s="2383">
        <v>0</v>
      </c>
      <c r="BV26" s="2379" t="s">
        <v>1090</v>
      </c>
      <c r="BW26" s="2384">
        <v>0</v>
      </c>
      <c r="BX26" s="2384">
        <v>0</v>
      </c>
      <c r="BY26" s="2380"/>
      <c r="BZ26" s="2339"/>
      <c r="CA26" s="2385" t="s">
        <v>1669</v>
      </c>
      <c r="CB26" s="2386" t="s">
        <v>2877</v>
      </c>
    </row>
    <row r="27" spans="1:80" s="606" customFormat="1" ht="105.75" customHeight="1" thickBot="1">
      <c r="A27" s="2655"/>
      <c r="B27" s="2655"/>
      <c r="C27" s="1201" t="s">
        <v>1156</v>
      </c>
      <c r="D27" s="507" t="s">
        <v>1237</v>
      </c>
      <c r="E27" s="39" t="s">
        <v>1238</v>
      </c>
      <c r="F27" s="40">
        <v>4</v>
      </c>
      <c r="G27" s="40" t="s">
        <v>1239</v>
      </c>
      <c r="H27" s="40" t="s">
        <v>1218</v>
      </c>
      <c r="I27" s="251">
        <f aca="true" t="shared" si="18" ref="I27:I35">100%/14</f>
        <v>0.07142857142857142</v>
      </c>
      <c r="J27" s="54" t="s">
        <v>1240</v>
      </c>
      <c r="K27" s="505">
        <v>42019</v>
      </c>
      <c r="L27" s="505">
        <v>42369</v>
      </c>
      <c r="M27" s="57"/>
      <c r="N27" s="57"/>
      <c r="O27" s="57"/>
      <c r="P27" s="57"/>
      <c r="Q27" s="57"/>
      <c r="R27" s="57"/>
      <c r="S27" s="57">
        <v>1</v>
      </c>
      <c r="T27" s="57">
        <v>1</v>
      </c>
      <c r="U27" s="57">
        <v>1</v>
      </c>
      <c r="V27" s="57">
        <v>1</v>
      </c>
      <c r="W27" s="57"/>
      <c r="X27" s="57"/>
      <c r="Y27" s="506">
        <f aca="true" t="shared" si="19" ref="Y27:Y30">SUM(M27:X27)</f>
        <v>4</v>
      </c>
      <c r="Z27" s="75">
        <v>0</v>
      </c>
      <c r="AA27" s="97"/>
      <c r="AB27" s="1214">
        <v>0</v>
      </c>
      <c r="AC27" s="1214">
        <v>0</v>
      </c>
      <c r="AD27" s="616"/>
      <c r="AE27" s="616"/>
      <c r="AF27" s="617"/>
      <c r="AG27" s="617"/>
      <c r="AH27" s="618"/>
      <c r="AI27" s="618"/>
      <c r="AJ27" s="619"/>
      <c r="AK27" s="619"/>
      <c r="AL27" s="620"/>
      <c r="AM27" s="620"/>
      <c r="AN27" s="634">
        <f t="shared" si="0"/>
        <v>0</v>
      </c>
      <c r="AO27" s="645">
        <f t="shared" si="1"/>
        <v>0</v>
      </c>
      <c r="AP27" s="1273">
        <f t="shared" si="16"/>
        <v>0</v>
      </c>
      <c r="AQ27" s="645" t="s">
        <v>1090</v>
      </c>
      <c r="AR27" s="622">
        <f t="shared" si="17"/>
        <v>0</v>
      </c>
      <c r="AS27" s="1647" t="str">
        <f t="shared" si="3"/>
        <v>-</v>
      </c>
      <c r="AT27" s="1647">
        <f aca="true" t="shared" si="20" ref="AT27:AT35">AR27</f>
        <v>0</v>
      </c>
      <c r="AU27" s="1215">
        <v>0</v>
      </c>
      <c r="AV27" s="624">
        <v>0</v>
      </c>
      <c r="AW27" s="623" t="s">
        <v>1676</v>
      </c>
      <c r="AX27" s="623" t="s">
        <v>1669</v>
      </c>
      <c r="AY27" s="1688">
        <f aca="true" t="shared" si="21" ref="AY27:AY35">SUM(M27:P27)</f>
        <v>0</v>
      </c>
      <c r="AZ27" s="1707">
        <f t="shared" si="4"/>
        <v>0</v>
      </c>
      <c r="BA27" s="1708">
        <v>0</v>
      </c>
      <c r="BB27" s="1709" t="s">
        <v>1090</v>
      </c>
      <c r="BC27" s="1709">
        <f aca="true" t="shared" si="22" ref="BC27:BC35">BA27/Y27</f>
        <v>0</v>
      </c>
      <c r="BD27" s="1710">
        <v>0</v>
      </c>
      <c r="BE27" s="1745">
        <v>0</v>
      </c>
      <c r="BF27" s="1706"/>
      <c r="BG27" s="1702" t="s">
        <v>2033</v>
      </c>
      <c r="BH27" s="1703" t="s">
        <v>1669</v>
      </c>
      <c r="BI27" s="2084">
        <v>0</v>
      </c>
      <c r="BJ27" s="2183">
        <f t="shared" si="5"/>
        <v>0</v>
      </c>
      <c r="BK27" s="2176">
        <v>7</v>
      </c>
      <c r="BL27" s="2183" t="s">
        <v>1090</v>
      </c>
      <c r="BM27" s="2177">
        <v>1</v>
      </c>
      <c r="BN27" s="2177">
        <v>1</v>
      </c>
      <c r="BO27" s="2307">
        <v>0</v>
      </c>
      <c r="BP27" s="2084" t="s">
        <v>1090</v>
      </c>
      <c r="BQ27" s="2181" t="s">
        <v>2630</v>
      </c>
      <c r="BR27" s="2182"/>
      <c r="BS27" s="2377">
        <f aca="true" t="shared" si="23" ref="BS27:BS35">SUM(M27:T27)</f>
        <v>2</v>
      </c>
      <c r="BT27" s="2379">
        <f t="shared" si="6"/>
        <v>1</v>
      </c>
      <c r="BU27" s="2383">
        <v>7</v>
      </c>
      <c r="BV27" s="2379">
        <v>1</v>
      </c>
      <c r="BW27" s="2384">
        <v>1</v>
      </c>
      <c r="BX27" s="2384">
        <v>1</v>
      </c>
      <c r="BY27" s="2380"/>
      <c r="BZ27" s="2339"/>
      <c r="CA27" s="2385" t="s">
        <v>2878</v>
      </c>
      <c r="CB27" s="2386" t="s">
        <v>1770</v>
      </c>
    </row>
    <row r="28" spans="1:80" s="606" customFormat="1" ht="320.25" customHeight="1" thickBot="1">
      <c r="A28" s="2655"/>
      <c r="B28" s="2655"/>
      <c r="C28" s="2714" t="s">
        <v>787</v>
      </c>
      <c r="D28" s="508" t="s">
        <v>1241</v>
      </c>
      <c r="E28" s="104" t="s">
        <v>1242</v>
      </c>
      <c r="F28" s="112">
        <v>3</v>
      </c>
      <c r="G28" s="104" t="s">
        <v>1677</v>
      </c>
      <c r="H28" s="40" t="s">
        <v>1243</v>
      </c>
      <c r="I28" s="251">
        <f t="shared" si="18"/>
        <v>0.07142857142857142</v>
      </c>
      <c r="J28" s="42" t="s">
        <v>1244</v>
      </c>
      <c r="K28" s="505">
        <v>42019</v>
      </c>
      <c r="L28" s="505">
        <v>42353</v>
      </c>
      <c r="M28" s="44"/>
      <c r="N28" s="44"/>
      <c r="O28" s="44"/>
      <c r="P28" s="44"/>
      <c r="Q28" s="44">
        <v>1</v>
      </c>
      <c r="R28" s="44"/>
      <c r="S28" s="44"/>
      <c r="T28" s="44">
        <v>1</v>
      </c>
      <c r="U28" s="44"/>
      <c r="V28" s="44"/>
      <c r="W28" s="44">
        <v>1</v>
      </c>
      <c r="X28" s="44"/>
      <c r="Y28" s="506">
        <f t="shared" si="19"/>
        <v>3</v>
      </c>
      <c r="Z28" s="75">
        <v>0</v>
      </c>
      <c r="AA28" s="610"/>
      <c r="AB28" s="1216">
        <v>0</v>
      </c>
      <c r="AC28" s="1216">
        <v>0</v>
      </c>
      <c r="AD28" s="626"/>
      <c r="AE28" s="626"/>
      <c r="AF28" s="627"/>
      <c r="AG28" s="627"/>
      <c r="AH28" s="628"/>
      <c r="AI28" s="628"/>
      <c r="AJ28" s="629"/>
      <c r="AK28" s="629"/>
      <c r="AL28" s="630"/>
      <c r="AM28" s="630"/>
      <c r="AN28" s="634">
        <f t="shared" si="0"/>
        <v>0</v>
      </c>
      <c r="AO28" s="645">
        <f t="shared" si="1"/>
        <v>0</v>
      </c>
      <c r="AP28" s="1273">
        <f t="shared" si="16"/>
        <v>0</v>
      </c>
      <c r="AQ28" s="645" t="s">
        <v>1090</v>
      </c>
      <c r="AR28" s="622">
        <f t="shared" si="17"/>
        <v>0</v>
      </c>
      <c r="AS28" s="1647" t="str">
        <f t="shared" si="3"/>
        <v>-</v>
      </c>
      <c r="AT28" s="1647">
        <f t="shared" si="20"/>
        <v>0</v>
      </c>
      <c r="AU28" s="1215">
        <v>0</v>
      </c>
      <c r="AV28" s="624">
        <v>0</v>
      </c>
      <c r="AW28" s="623" t="s">
        <v>1678</v>
      </c>
      <c r="AX28" s="623" t="s">
        <v>1669</v>
      </c>
      <c r="AY28" s="1688">
        <f t="shared" si="21"/>
        <v>0</v>
      </c>
      <c r="AZ28" s="1707">
        <f t="shared" si="4"/>
        <v>0</v>
      </c>
      <c r="BA28" s="1701">
        <v>0</v>
      </c>
      <c r="BB28" s="1709" t="s">
        <v>1090</v>
      </c>
      <c r="BC28" s="1709">
        <f t="shared" si="22"/>
        <v>0</v>
      </c>
      <c r="BD28" s="1710">
        <v>0</v>
      </c>
      <c r="BE28" s="1745">
        <v>0</v>
      </c>
      <c r="BF28" s="1711"/>
      <c r="BG28" s="1703" t="s">
        <v>2034</v>
      </c>
      <c r="BH28" s="1703" t="s">
        <v>1669</v>
      </c>
      <c r="BI28" s="2184">
        <v>1</v>
      </c>
      <c r="BJ28" s="2183">
        <f t="shared" si="5"/>
        <v>1</v>
      </c>
      <c r="BK28" s="2176">
        <v>1</v>
      </c>
      <c r="BL28" s="2183">
        <v>1</v>
      </c>
      <c r="BM28" s="2177">
        <v>0.33</v>
      </c>
      <c r="BN28" s="2177">
        <v>0.33</v>
      </c>
      <c r="BO28" s="2307">
        <v>0</v>
      </c>
      <c r="BP28" s="2084" t="s">
        <v>1090</v>
      </c>
      <c r="BQ28" s="2181" t="s">
        <v>2631</v>
      </c>
      <c r="BR28" s="2182"/>
      <c r="BS28" s="2377">
        <f t="shared" si="23"/>
        <v>2</v>
      </c>
      <c r="BT28" s="2379">
        <f t="shared" si="6"/>
        <v>1</v>
      </c>
      <c r="BU28" s="2383">
        <v>2</v>
      </c>
      <c r="BV28" s="2379">
        <v>1</v>
      </c>
      <c r="BW28" s="2384">
        <v>0.6666666666666666</v>
      </c>
      <c r="BX28" s="2384">
        <f>BU28/Y28</f>
        <v>0.6666666666666666</v>
      </c>
      <c r="BY28" s="2380"/>
      <c r="BZ28" s="2339"/>
      <c r="CA28" s="2385" t="s">
        <v>2879</v>
      </c>
      <c r="CB28" s="2386" t="s">
        <v>1770</v>
      </c>
    </row>
    <row r="29" spans="1:80" s="606" customFormat="1" ht="291.75" customHeight="1" thickBot="1">
      <c r="A29" s="2655"/>
      <c r="B29" s="2655"/>
      <c r="C29" s="2715"/>
      <c r="D29" s="508" t="s">
        <v>1679</v>
      </c>
      <c r="E29" s="104" t="s">
        <v>1680</v>
      </c>
      <c r="F29" s="112">
        <v>15</v>
      </c>
      <c r="G29" s="104" t="s">
        <v>1681</v>
      </c>
      <c r="H29" s="40" t="s">
        <v>1243</v>
      </c>
      <c r="I29" s="251">
        <f t="shared" si="18"/>
        <v>0.07142857142857142</v>
      </c>
      <c r="J29" s="42" t="s">
        <v>1509</v>
      </c>
      <c r="K29" s="516">
        <v>42019</v>
      </c>
      <c r="L29" s="516">
        <v>42353</v>
      </c>
      <c r="M29" s="44"/>
      <c r="N29" s="44"/>
      <c r="O29" s="44">
        <v>1</v>
      </c>
      <c r="P29" s="44">
        <v>2</v>
      </c>
      <c r="Q29" s="44">
        <v>2</v>
      </c>
      <c r="R29" s="44">
        <v>2</v>
      </c>
      <c r="S29" s="44">
        <v>2</v>
      </c>
      <c r="T29" s="44">
        <v>2</v>
      </c>
      <c r="U29" s="44">
        <v>2</v>
      </c>
      <c r="V29" s="44">
        <v>2</v>
      </c>
      <c r="W29" s="44"/>
      <c r="X29" s="44"/>
      <c r="Y29" s="506">
        <f t="shared" si="19"/>
        <v>15</v>
      </c>
      <c r="Z29" s="75">
        <v>0</v>
      </c>
      <c r="AA29" s="610"/>
      <c r="AB29" s="1216">
        <v>0</v>
      </c>
      <c r="AC29" s="1216">
        <v>0</v>
      </c>
      <c r="AD29" s="626"/>
      <c r="AE29" s="626"/>
      <c r="AF29" s="627"/>
      <c r="AG29" s="627"/>
      <c r="AH29" s="628"/>
      <c r="AI29" s="628"/>
      <c r="AJ29" s="629"/>
      <c r="AK29" s="629"/>
      <c r="AL29" s="630"/>
      <c r="AM29" s="630"/>
      <c r="AN29" s="634">
        <f t="shared" si="0"/>
        <v>0</v>
      </c>
      <c r="AO29" s="645">
        <f t="shared" si="1"/>
        <v>0</v>
      </c>
      <c r="AP29" s="1273">
        <f t="shared" si="16"/>
        <v>0</v>
      </c>
      <c r="AQ29" s="645" t="s">
        <v>1090</v>
      </c>
      <c r="AR29" s="622">
        <f t="shared" si="17"/>
        <v>0</v>
      </c>
      <c r="AS29" s="1647" t="str">
        <f t="shared" si="3"/>
        <v>-</v>
      </c>
      <c r="AT29" s="1647">
        <f t="shared" si="20"/>
        <v>0</v>
      </c>
      <c r="AU29" s="1215">
        <v>0</v>
      </c>
      <c r="AV29" s="624">
        <v>0</v>
      </c>
      <c r="AW29" s="623" t="s">
        <v>1682</v>
      </c>
      <c r="AX29" s="623" t="s">
        <v>1669</v>
      </c>
      <c r="AY29" s="1688">
        <f t="shared" si="21"/>
        <v>3</v>
      </c>
      <c r="AZ29" s="1707">
        <f t="shared" si="4"/>
        <v>1</v>
      </c>
      <c r="BA29" s="1701">
        <v>20</v>
      </c>
      <c r="BB29" s="1709">
        <v>1</v>
      </c>
      <c r="BC29" s="1709">
        <v>1</v>
      </c>
      <c r="BD29" s="1710">
        <f t="shared" si="14"/>
        <v>1</v>
      </c>
      <c r="BE29" s="1745">
        <v>0</v>
      </c>
      <c r="BF29" s="1711"/>
      <c r="BG29" s="1703" t="s">
        <v>2035</v>
      </c>
      <c r="BH29" s="1703" t="s">
        <v>1669</v>
      </c>
      <c r="BI29" s="2184">
        <v>7</v>
      </c>
      <c r="BJ29" s="2183">
        <f t="shared" si="5"/>
        <v>1</v>
      </c>
      <c r="BK29" s="2176">
        <v>20</v>
      </c>
      <c r="BL29" s="2183">
        <v>1</v>
      </c>
      <c r="BM29" s="2177">
        <v>1</v>
      </c>
      <c r="BN29" s="2177">
        <v>1</v>
      </c>
      <c r="BO29" s="2307">
        <v>0</v>
      </c>
      <c r="BP29" s="2084" t="s">
        <v>1090</v>
      </c>
      <c r="BQ29" s="2181" t="s">
        <v>2632</v>
      </c>
      <c r="BR29" s="2182"/>
      <c r="BS29" s="2377">
        <f t="shared" si="23"/>
        <v>11</v>
      </c>
      <c r="BT29" s="2379">
        <f t="shared" si="6"/>
        <v>1</v>
      </c>
      <c r="BU29" s="2383">
        <v>25</v>
      </c>
      <c r="BV29" s="2379">
        <v>1</v>
      </c>
      <c r="BW29" s="2384">
        <v>1</v>
      </c>
      <c r="BX29" s="2384">
        <v>1</v>
      </c>
      <c r="BY29" s="2380"/>
      <c r="BZ29" s="2339"/>
      <c r="CA29" s="2385" t="s">
        <v>2880</v>
      </c>
      <c r="CB29" s="2386" t="s">
        <v>1770</v>
      </c>
    </row>
    <row r="30" spans="1:80" s="606" customFormat="1" ht="276.75" customHeight="1" thickBot="1">
      <c r="A30" s="2655"/>
      <c r="B30" s="2655"/>
      <c r="C30" s="2716"/>
      <c r="D30" s="107" t="s">
        <v>1683</v>
      </c>
      <c r="E30" s="216" t="s">
        <v>1245</v>
      </c>
      <c r="F30" s="510">
        <v>100</v>
      </c>
      <c r="G30" s="216" t="s">
        <v>1246</v>
      </c>
      <c r="H30" s="40" t="s">
        <v>1243</v>
      </c>
      <c r="I30" s="251">
        <f t="shared" si="18"/>
        <v>0.07142857142857142</v>
      </c>
      <c r="J30" s="55" t="s">
        <v>72</v>
      </c>
      <c r="K30" s="516">
        <v>42019</v>
      </c>
      <c r="L30" s="516">
        <v>42353</v>
      </c>
      <c r="M30" s="565"/>
      <c r="N30" s="565"/>
      <c r="O30" s="565"/>
      <c r="P30" s="565"/>
      <c r="Q30" s="565"/>
      <c r="R30" s="565"/>
      <c r="S30" s="565"/>
      <c r="T30" s="565">
        <v>1</v>
      </c>
      <c r="U30" s="565"/>
      <c r="V30" s="565"/>
      <c r="W30" s="565"/>
      <c r="X30" s="565"/>
      <c r="Y30" s="538">
        <f t="shared" si="19"/>
        <v>1</v>
      </c>
      <c r="Z30" s="75">
        <v>0</v>
      </c>
      <c r="AA30" s="97"/>
      <c r="AB30" s="1221">
        <v>0</v>
      </c>
      <c r="AC30" s="1221">
        <v>0</v>
      </c>
      <c r="AD30" s="640"/>
      <c r="AE30" s="640"/>
      <c r="AF30" s="641"/>
      <c r="AG30" s="641"/>
      <c r="AH30" s="642"/>
      <c r="AI30" s="642"/>
      <c r="AJ30" s="643"/>
      <c r="AK30" s="643"/>
      <c r="AL30" s="644"/>
      <c r="AM30" s="644"/>
      <c r="AN30" s="645">
        <f t="shared" si="0"/>
        <v>0</v>
      </c>
      <c r="AO30" s="645">
        <f t="shared" si="1"/>
        <v>0</v>
      </c>
      <c r="AP30" s="1274">
        <f t="shared" si="16"/>
        <v>0</v>
      </c>
      <c r="AQ30" s="645" t="s">
        <v>1090</v>
      </c>
      <c r="AR30" s="622">
        <f t="shared" si="17"/>
        <v>0</v>
      </c>
      <c r="AS30" s="1647" t="str">
        <f t="shared" si="3"/>
        <v>-</v>
      </c>
      <c r="AT30" s="1647">
        <f t="shared" si="20"/>
        <v>0</v>
      </c>
      <c r="AU30" s="1215">
        <v>0</v>
      </c>
      <c r="AV30" s="624">
        <v>0</v>
      </c>
      <c r="AW30" s="623" t="s">
        <v>1684</v>
      </c>
      <c r="AX30" s="623" t="s">
        <v>1669</v>
      </c>
      <c r="AY30" s="1688">
        <f t="shared" si="21"/>
        <v>0</v>
      </c>
      <c r="AZ30" s="1707">
        <f t="shared" si="4"/>
        <v>0</v>
      </c>
      <c r="BA30" s="1701">
        <v>0</v>
      </c>
      <c r="BB30" s="1709" t="s">
        <v>1090</v>
      </c>
      <c r="BC30" s="1709">
        <f t="shared" si="22"/>
        <v>0</v>
      </c>
      <c r="BD30" s="1710">
        <v>0</v>
      </c>
      <c r="BE30" s="1745">
        <v>0</v>
      </c>
      <c r="BF30" s="1711"/>
      <c r="BG30" s="1703" t="s">
        <v>2036</v>
      </c>
      <c r="BH30" s="1703" t="s">
        <v>1669</v>
      </c>
      <c r="BI30" s="2184">
        <v>0</v>
      </c>
      <c r="BJ30" s="2183">
        <f t="shared" si="5"/>
        <v>0</v>
      </c>
      <c r="BK30" s="2177">
        <v>0</v>
      </c>
      <c r="BL30" s="2183" t="s">
        <v>1090</v>
      </c>
      <c r="BM30" s="2177">
        <v>0</v>
      </c>
      <c r="BN30" s="2177">
        <v>0</v>
      </c>
      <c r="BO30" s="2307">
        <v>0</v>
      </c>
      <c r="BP30" s="2084" t="s">
        <v>1090</v>
      </c>
      <c r="BQ30" s="2181" t="s">
        <v>1669</v>
      </c>
      <c r="BR30" s="2182"/>
      <c r="BS30" s="2384">
        <f t="shared" si="23"/>
        <v>1</v>
      </c>
      <c r="BT30" s="2379">
        <f t="shared" si="6"/>
        <v>1</v>
      </c>
      <c r="BU30" s="2384">
        <v>1</v>
      </c>
      <c r="BV30" s="2379">
        <v>1</v>
      </c>
      <c r="BW30" s="2384">
        <v>1</v>
      </c>
      <c r="BX30" s="2384">
        <v>1</v>
      </c>
      <c r="BY30" s="2380"/>
      <c r="BZ30" s="2339"/>
      <c r="CA30" s="2385" t="s">
        <v>2881</v>
      </c>
      <c r="CB30" s="2386" t="s">
        <v>1770</v>
      </c>
    </row>
    <row r="31" spans="1:80" s="606" customFormat="1" ht="408.75" customHeight="1" thickBot="1">
      <c r="A31" s="2655"/>
      <c r="B31" s="2655"/>
      <c r="C31" s="2709" t="s">
        <v>1089</v>
      </c>
      <c r="D31" s="646" t="s">
        <v>1510</v>
      </c>
      <c r="E31" s="59" t="s">
        <v>72</v>
      </c>
      <c r="F31" s="511">
        <v>1</v>
      </c>
      <c r="G31" s="59" t="s">
        <v>73</v>
      </c>
      <c r="H31" s="40" t="s">
        <v>1511</v>
      </c>
      <c r="I31" s="251">
        <f t="shared" si="18"/>
        <v>0.07142857142857142</v>
      </c>
      <c r="J31" s="61" t="s">
        <v>1161</v>
      </c>
      <c r="K31" s="516">
        <v>42036</v>
      </c>
      <c r="L31" s="516">
        <v>42094</v>
      </c>
      <c r="M31" s="586"/>
      <c r="N31" s="586"/>
      <c r="O31" s="586">
        <v>1</v>
      </c>
      <c r="P31" s="586"/>
      <c r="Q31" s="586"/>
      <c r="R31" s="586"/>
      <c r="S31" s="586"/>
      <c r="T31" s="586"/>
      <c r="U31" s="586"/>
      <c r="V31" s="586"/>
      <c r="W31" s="586"/>
      <c r="X31" s="586"/>
      <c r="Y31" s="538">
        <v>1</v>
      </c>
      <c r="Z31" s="609">
        <v>0</v>
      </c>
      <c r="AA31" s="611"/>
      <c r="AB31" s="1221"/>
      <c r="AC31" s="1221"/>
      <c r="AD31" s="647"/>
      <c r="AE31" s="647"/>
      <c r="AF31" s="648"/>
      <c r="AG31" s="648"/>
      <c r="AH31" s="649"/>
      <c r="AI31" s="649"/>
      <c r="AJ31" s="650"/>
      <c r="AK31" s="650"/>
      <c r="AL31" s="651"/>
      <c r="AM31" s="651"/>
      <c r="AN31" s="645">
        <f t="shared" si="0"/>
        <v>0</v>
      </c>
      <c r="AO31" s="645">
        <f t="shared" si="1"/>
        <v>0</v>
      </c>
      <c r="AP31" s="1274">
        <f t="shared" si="16"/>
        <v>0</v>
      </c>
      <c r="AQ31" s="645" t="e">
        <f t="shared" si="11"/>
        <v>#DIV/0!</v>
      </c>
      <c r="AR31" s="622">
        <f t="shared" si="17"/>
        <v>0</v>
      </c>
      <c r="AS31" s="1647" t="str">
        <f t="shared" si="3"/>
        <v>-</v>
      </c>
      <c r="AT31" s="1647">
        <f t="shared" si="20"/>
        <v>0</v>
      </c>
      <c r="AU31" s="1215">
        <v>0</v>
      </c>
      <c r="AV31" s="624">
        <v>0</v>
      </c>
      <c r="AW31" s="623"/>
      <c r="AX31" s="623"/>
      <c r="AY31" s="1688">
        <f t="shared" si="21"/>
        <v>1</v>
      </c>
      <c r="AZ31" s="1707">
        <f t="shared" si="4"/>
        <v>1</v>
      </c>
      <c r="BA31" s="1701"/>
      <c r="BB31" s="1709">
        <f aca="true" t="shared" si="24" ref="BB31:BB33">BA31/AY31</f>
        <v>0</v>
      </c>
      <c r="BC31" s="1709">
        <f t="shared" si="22"/>
        <v>0</v>
      </c>
      <c r="BD31" s="1710">
        <f t="shared" si="14"/>
        <v>0</v>
      </c>
      <c r="BE31" s="1745"/>
      <c r="BF31" s="1711"/>
      <c r="BG31" s="1701"/>
      <c r="BH31" s="1701"/>
      <c r="BI31" s="2184">
        <v>0</v>
      </c>
      <c r="BJ31" s="2183">
        <f t="shared" si="5"/>
        <v>0</v>
      </c>
      <c r="BK31" s="2177">
        <v>0.66</v>
      </c>
      <c r="BL31" s="2183">
        <v>0.66</v>
      </c>
      <c r="BM31" s="2177">
        <v>0.66</v>
      </c>
      <c r="BN31" s="2177">
        <v>0.66</v>
      </c>
      <c r="BO31" s="2307">
        <v>0</v>
      </c>
      <c r="BP31" s="2084" t="s">
        <v>1090</v>
      </c>
      <c r="BQ31" s="2181" t="s">
        <v>2633</v>
      </c>
      <c r="BR31" s="2182"/>
      <c r="BS31" s="2384">
        <f t="shared" si="23"/>
        <v>1</v>
      </c>
      <c r="BT31" s="2379">
        <f t="shared" si="6"/>
        <v>1</v>
      </c>
      <c r="BU31" s="2384">
        <v>1</v>
      </c>
      <c r="BV31" s="2379">
        <v>1</v>
      </c>
      <c r="BW31" s="2384">
        <v>1</v>
      </c>
      <c r="BX31" s="2384">
        <v>1</v>
      </c>
      <c r="BY31" s="2380"/>
      <c r="BZ31" s="2339"/>
      <c r="CA31" s="2385" t="s">
        <v>2882</v>
      </c>
      <c r="CB31" s="2386" t="s">
        <v>1770</v>
      </c>
    </row>
    <row r="32" spans="1:80" s="606" customFormat="1" ht="136.5" customHeight="1" thickBot="1">
      <c r="A32" s="2655"/>
      <c r="B32" s="2655"/>
      <c r="C32" s="2710"/>
      <c r="D32" s="646" t="s">
        <v>1512</v>
      </c>
      <c r="E32" s="59" t="s">
        <v>1162</v>
      </c>
      <c r="F32" s="511">
        <v>9</v>
      </c>
      <c r="G32" s="59" t="s">
        <v>1163</v>
      </c>
      <c r="H32" s="40" t="s">
        <v>1511</v>
      </c>
      <c r="I32" s="251">
        <f t="shared" si="18"/>
        <v>0.07142857142857142</v>
      </c>
      <c r="J32" s="61" t="s">
        <v>1164</v>
      </c>
      <c r="K32" s="516">
        <v>42095</v>
      </c>
      <c r="L32" s="516">
        <v>42155</v>
      </c>
      <c r="M32" s="586"/>
      <c r="N32" s="586"/>
      <c r="O32" s="586"/>
      <c r="P32" s="586"/>
      <c r="Q32" s="586"/>
      <c r="R32" s="586"/>
      <c r="S32" s="586"/>
      <c r="T32" s="586"/>
      <c r="U32" s="2185">
        <v>1</v>
      </c>
      <c r="V32" s="2185">
        <v>4</v>
      </c>
      <c r="W32" s="2185">
        <v>4</v>
      </c>
      <c r="X32" s="2185"/>
      <c r="Y32" s="1714">
        <v>9</v>
      </c>
      <c r="Z32" s="609">
        <v>0</v>
      </c>
      <c r="AA32" s="611"/>
      <c r="AB32" s="1221"/>
      <c r="AC32" s="1221"/>
      <c r="AD32" s="647"/>
      <c r="AE32" s="647"/>
      <c r="AF32" s="648"/>
      <c r="AG32" s="648"/>
      <c r="AH32" s="649"/>
      <c r="AI32" s="649"/>
      <c r="AJ32" s="650"/>
      <c r="AK32" s="650"/>
      <c r="AL32" s="651"/>
      <c r="AM32" s="651"/>
      <c r="AN32" s="645">
        <f t="shared" si="0"/>
        <v>0</v>
      </c>
      <c r="AO32" s="645">
        <f t="shared" si="1"/>
        <v>0</v>
      </c>
      <c r="AP32" s="1274">
        <f t="shared" si="16"/>
        <v>0</v>
      </c>
      <c r="AQ32" s="645" t="e">
        <f t="shared" si="11"/>
        <v>#DIV/0!</v>
      </c>
      <c r="AR32" s="622">
        <f t="shared" si="17"/>
        <v>0</v>
      </c>
      <c r="AS32" s="1647" t="str">
        <f t="shared" si="3"/>
        <v>-</v>
      </c>
      <c r="AT32" s="1647">
        <f t="shared" si="20"/>
        <v>0</v>
      </c>
      <c r="AU32" s="1215">
        <v>0</v>
      </c>
      <c r="AV32" s="624">
        <v>0</v>
      </c>
      <c r="AW32" s="623"/>
      <c r="AX32" s="623"/>
      <c r="AY32" s="1688">
        <f t="shared" si="21"/>
        <v>0</v>
      </c>
      <c r="AZ32" s="1707">
        <f t="shared" si="4"/>
        <v>0</v>
      </c>
      <c r="BA32" s="1701"/>
      <c r="BB32" s="1709" t="e">
        <f t="shared" si="24"/>
        <v>#DIV/0!</v>
      </c>
      <c r="BC32" s="1709">
        <f t="shared" si="22"/>
        <v>0</v>
      </c>
      <c r="BD32" s="1710" t="str">
        <f t="shared" si="14"/>
        <v>-</v>
      </c>
      <c r="BE32" s="1745"/>
      <c r="BF32" s="1711"/>
      <c r="BG32" s="1701"/>
      <c r="BH32" s="1701"/>
      <c r="BI32" s="2184">
        <v>0</v>
      </c>
      <c r="BJ32" s="2183">
        <f t="shared" si="5"/>
        <v>0</v>
      </c>
      <c r="BK32" s="2177">
        <v>0</v>
      </c>
      <c r="BL32" s="2183" t="s">
        <v>1090</v>
      </c>
      <c r="BM32" s="2177">
        <v>0</v>
      </c>
      <c r="BN32" s="2177">
        <v>0</v>
      </c>
      <c r="BO32" s="2307">
        <v>0</v>
      </c>
      <c r="BP32" s="2084" t="s">
        <v>1090</v>
      </c>
      <c r="BQ32" s="2181" t="s">
        <v>2634</v>
      </c>
      <c r="BR32" s="2182"/>
      <c r="BS32" s="2377">
        <f t="shared" si="23"/>
        <v>0</v>
      </c>
      <c r="BT32" s="2379">
        <f t="shared" si="6"/>
        <v>0</v>
      </c>
      <c r="BU32" s="2384">
        <v>0</v>
      </c>
      <c r="BV32" s="2379" t="s">
        <v>1090</v>
      </c>
      <c r="BW32" s="2384">
        <v>0</v>
      </c>
      <c r="BX32" s="2384">
        <v>0</v>
      </c>
      <c r="BY32" s="2380"/>
      <c r="BZ32" s="2339"/>
      <c r="CA32" s="2385" t="s">
        <v>2883</v>
      </c>
      <c r="CB32" s="2386" t="s">
        <v>1770</v>
      </c>
    </row>
    <row r="33" spans="1:80" s="606" customFormat="1" ht="56.25" customHeight="1" thickBot="1">
      <c r="A33" s="2655"/>
      <c r="B33" s="2655"/>
      <c r="C33" s="2710"/>
      <c r="D33" s="646" t="s">
        <v>1513</v>
      </c>
      <c r="E33" s="59" t="s">
        <v>1165</v>
      </c>
      <c r="F33" s="511">
        <v>1</v>
      </c>
      <c r="G33" s="59" t="s">
        <v>1166</v>
      </c>
      <c r="H33" s="40" t="s">
        <v>1511</v>
      </c>
      <c r="I33" s="251">
        <f t="shared" si="18"/>
        <v>0.07142857142857142</v>
      </c>
      <c r="J33" s="61" t="s">
        <v>1167</v>
      </c>
      <c r="K33" s="516">
        <v>42156</v>
      </c>
      <c r="L33" s="516">
        <v>42216</v>
      </c>
      <c r="M33" s="586"/>
      <c r="N33" s="586"/>
      <c r="O33" s="586"/>
      <c r="P33" s="586"/>
      <c r="Q33" s="586"/>
      <c r="R33" s="586"/>
      <c r="S33" s="586">
        <v>1</v>
      </c>
      <c r="T33" s="586"/>
      <c r="U33" s="586"/>
      <c r="V33" s="586"/>
      <c r="W33" s="586"/>
      <c r="X33" s="586"/>
      <c r="Y33" s="538">
        <v>1</v>
      </c>
      <c r="Z33" s="609">
        <v>0</v>
      </c>
      <c r="AA33" s="611"/>
      <c r="AB33" s="1221"/>
      <c r="AC33" s="1221"/>
      <c r="AD33" s="647"/>
      <c r="AE33" s="647"/>
      <c r="AF33" s="648"/>
      <c r="AG33" s="648"/>
      <c r="AH33" s="649"/>
      <c r="AI33" s="649"/>
      <c r="AJ33" s="650"/>
      <c r="AK33" s="650"/>
      <c r="AL33" s="651"/>
      <c r="AM33" s="651"/>
      <c r="AN33" s="645">
        <f t="shared" si="0"/>
        <v>0</v>
      </c>
      <c r="AO33" s="645">
        <f t="shared" si="1"/>
        <v>0</v>
      </c>
      <c r="AP33" s="1274">
        <f t="shared" si="16"/>
        <v>0</v>
      </c>
      <c r="AQ33" s="645" t="e">
        <f t="shared" si="11"/>
        <v>#DIV/0!</v>
      </c>
      <c r="AR33" s="622">
        <f t="shared" si="17"/>
        <v>0</v>
      </c>
      <c r="AS33" s="1647" t="str">
        <f t="shared" si="3"/>
        <v>-</v>
      </c>
      <c r="AT33" s="1647">
        <f t="shared" si="20"/>
        <v>0</v>
      </c>
      <c r="AU33" s="1215">
        <v>0</v>
      </c>
      <c r="AV33" s="624">
        <v>0</v>
      </c>
      <c r="AW33" s="623"/>
      <c r="AX33" s="623"/>
      <c r="AY33" s="1688">
        <f t="shared" si="21"/>
        <v>0</v>
      </c>
      <c r="AZ33" s="1707">
        <f t="shared" si="4"/>
        <v>0</v>
      </c>
      <c r="BA33" s="1701"/>
      <c r="BB33" s="1709" t="e">
        <f t="shared" si="24"/>
        <v>#DIV/0!</v>
      </c>
      <c r="BC33" s="1709">
        <f t="shared" si="22"/>
        <v>0</v>
      </c>
      <c r="BD33" s="1710" t="str">
        <f t="shared" si="14"/>
        <v>-</v>
      </c>
      <c r="BE33" s="1745"/>
      <c r="BF33" s="1711"/>
      <c r="BG33" s="1701"/>
      <c r="BH33" s="1701"/>
      <c r="BI33" s="2184">
        <v>0</v>
      </c>
      <c r="BJ33" s="2183">
        <f t="shared" si="5"/>
        <v>0</v>
      </c>
      <c r="BK33" s="2177">
        <v>0</v>
      </c>
      <c r="BL33" s="2183" t="s">
        <v>1090</v>
      </c>
      <c r="BM33" s="2177">
        <v>0</v>
      </c>
      <c r="BN33" s="2177">
        <v>0</v>
      </c>
      <c r="BO33" s="2307">
        <v>0</v>
      </c>
      <c r="BP33" s="2084" t="s">
        <v>1090</v>
      </c>
      <c r="BQ33" s="2181" t="s">
        <v>2635</v>
      </c>
      <c r="BR33" s="2182"/>
      <c r="BS33" s="2384">
        <f t="shared" si="23"/>
        <v>1</v>
      </c>
      <c r="BT33" s="2379">
        <f t="shared" si="6"/>
        <v>1</v>
      </c>
      <c r="BU33" s="2384">
        <v>0</v>
      </c>
      <c r="BV33" s="2379">
        <v>0</v>
      </c>
      <c r="BW33" s="2384">
        <v>0</v>
      </c>
      <c r="BX33" s="2384">
        <v>0</v>
      </c>
      <c r="BY33" s="2380"/>
      <c r="BZ33" s="2339"/>
      <c r="CA33" s="2385" t="s">
        <v>1669</v>
      </c>
      <c r="CB33" s="2386" t="s">
        <v>1770</v>
      </c>
    </row>
    <row r="34" spans="1:80" s="606" customFormat="1" ht="118.5" customHeight="1" thickBot="1">
      <c r="A34" s="2655"/>
      <c r="B34" s="2655"/>
      <c r="C34" s="2709" t="s">
        <v>1178</v>
      </c>
      <c r="D34" s="2718" t="s">
        <v>1519</v>
      </c>
      <c r="E34" s="59" t="s">
        <v>1066</v>
      </c>
      <c r="F34" s="511">
        <v>1</v>
      </c>
      <c r="G34" s="59" t="s">
        <v>1520</v>
      </c>
      <c r="H34" s="40" t="s">
        <v>1227</v>
      </c>
      <c r="I34" s="251">
        <f t="shared" si="18"/>
        <v>0.07142857142857142</v>
      </c>
      <c r="J34" s="61" t="s">
        <v>1522</v>
      </c>
      <c r="K34" s="516">
        <v>42186</v>
      </c>
      <c r="L34" s="516">
        <v>42369</v>
      </c>
      <c r="M34" s="586"/>
      <c r="N34" s="586"/>
      <c r="O34" s="586"/>
      <c r="P34" s="586"/>
      <c r="Q34" s="586"/>
      <c r="R34" s="586"/>
      <c r="S34" s="586">
        <v>1</v>
      </c>
      <c r="T34" s="586"/>
      <c r="U34" s="586"/>
      <c r="V34" s="586"/>
      <c r="W34" s="586"/>
      <c r="X34" s="586"/>
      <c r="Y34" s="538">
        <v>1</v>
      </c>
      <c r="Z34" s="609">
        <v>0</v>
      </c>
      <c r="AA34" s="611"/>
      <c r="AB34" s="1221">
        <v>0</v>
      </c>
      <c r="AC34" s="1221">
        <v>0</v>
      </c>
      <c r="AD34" s="647"/>
      <c r="AE34" s="647"/>
      <c r="AF34" s="648"/>
      <c r="AG34" s="648"/>
      <c r="AH34" s="649"/>
      <c r="AI34" s="649"/>
      <c r="AJ34" s="650"/>
      <c r="AK34" s="650"/>
      <c r="AL34" s="651"/>
      <c r="AM34" s="651"/>
      <c r="AN34" s="645">
        <f t="shared" si="0"/>
        <v>0</v>
      </c>
      <c r="AO34" s="645">
        <f t="shared" si="1"/>
        <v>0</v>
      </c>
      <c r="AP34" s="1274">
        <f t="shared" si="16"/>
        <v>0</v>
      </c>
      <c r="AQ34" s="645" t="s">
        <v>1090</v>
      </c>
      <c r="AR34" s="622">
        <f t="shared" si="17"/>
        <v>0</v>
      </c>
      <c r="AS34" s="1647" t="str">
        <f t="shared" si="3"/>
        <v>-</v>
      </c>
      <c r="AT34" s="1647">
        <f t="shared" si="20"/>
        <v>0</v>
      </c>
      <c r="AU34" s="1215">
        <v>0</v>
      </c>
      <c r="AV34" s="624">
        <v>0</v>
      </c>
      <c r="AW34" s="623" t="s">
        <v>1669</v>
      </c>
      <c r="AX34" s="623" t="s">
        <v>1669</v>
      </c>
      <c r="AY34" s="1688">
        <f t="shared" si="21"/>
        <v>0</v>
      </c>
      <c r="AZ34" s="1707">
        <f t="shared" si="4"/>
        <v>0</v>
      </c>
      <c r="BA34" s="1701">
        <v>0</v>
      </c>
      <c r="BB34" s="1709" t="s">
        <v>1090</v>
      </c>
      <c r="BC34" s="1709">
        <f t="shared" si="22"/>
        <v>0</v>
      </c>
      <c r="BD34" s="1710">
        <v>0</v>
      </c>
      <c r="BE34" s="1745">
        <v>0</v>
      </c>
      <c r="BF34" s="1711"/>
      <c r="BG34" s="1703" t="s">
        <v>1669</v>
      </c>
      <c r="BH34" s="1703" t="s">
        <v>1669</v>
      </c>
      <c r="BI34" s="2184">
        <v>0</v>
      </c>
      <c r="BJ34" s="2183">
        <f t="shared" si="5"/>
        <v>0</v>
      </c>
      <c r="BK34" s="2177">
        <v>0</v>
      </c>
      <c r="BL34" s="2183" t="s">
        <v>1090</v>
      </c>
      <c r="BM34" s="2177">
        <v>0</v>
      </c>
      <c r="BN34" s="2177">
        <v>0</v>
      </c>
      <c r="BO34" s="2307">
        <v>0</v>
      </c>
      <c r="BP34" s="2084" t="s">
        <v>1090</v>
      </c>
      <c r="BQ34" s="2181" t="s">
        <v>2636</v>
      </c>
      <c r="BR34" s="2182" t="s">
        <v>2637</v>
      </c>
      <c r="BS34" s="2377">
        <f t="shared" si="23"/>
        <v>1</v>
      </c>
      <c r="BT34" s="2379">
        <f t="shared" si="6"/>
        <v>1</v>
      </c>
      <c r="BU34" s="2384">
        <v>0</v>
      </c>
      <c r="BV34" s="2379">
        <v>0</v>
      </c>
      <c r="BW34" s="2384">
        <v>0</v>
      </c>
      <c r="BX34" s="2384">
        <v>0</v>
      </c>
      <c r="BY34" s="2380"/>
      <c r="BZ34" s="2339"/>
      <c r="CA34" s="2385" t="s">
        <v>2884</v>
      </c>
      <c r="CB34" s="2386" t="s">
        <v>2885</v>
      </c>
    </row>
    <row r="35" spans="1:80" s="606" customFormat="1" ht="119.25" customHeight="1" thickBot="1">
      <c r="A35" s="2659"/>
      <c r="B35" s="2659"/>
      <c r="C35" s="2711"/>
      <c r="D35" s="2719"/>
      <c r="E35" s="59" t="s">
        <v>136</v>
      </c>
      <c r="F35" s="511">
        <v>1</v>
      </c>
      <c r="G35" s="59" t="s">
        <v>1523</v>
      </c>
      <c r="H35" s="40" t="s">
        <v>1227</v>
      </c>
      <c r="I35" s="251">
        <f t="shared" si="18"/>
        <v>0.07142857142857142</v>
      </c>
      <c r="J35" s="61" t="s">
        <v>1524</v>
      </c>
      <c r="K35" s="516">
        <v>42186</v>
      </c>
      <c r="L35" s="516">
        <v>42369</v>
      </c>
      <c r="M35" s="586"/>
      <c r="N35" s="586"/>
      <c r="O35" s="586"/>
      <c r="P35" s="586"/>
      <c r="Q35" s="586"/>
      <c r="R35" s="586"/>
      <c r="S35" s="586"/>
      <c r="T35" s="586"/>
      <c r="U35" s="586"/>
      <c r="V35" s="586"/>
      <c r="W35" s="586"/>
      <c r="X35" s="586">
        <v>1</v>
      </c>
      <c r="Y35" s="538">
        <v>1</v>
      </c>
      <c r="Z35" s="609">
        <v>0</v>
      </c>
      <c r="AA35" s="611"/>
      <c r="AB35" s="1221">
        <v>0</v>
      </c>
      <c r="AC35" s="1221">
        <v>0</v>
      </c>
      <c r="AD35" s="647"/>
      <c r="AE35" s="647"/>
      <c r="AF35" s="648"/>
      <c r="AG35" s="648"/>
      <c r="AH35" s="649"/>
      <c r="AI35" s="649"/>
      <c r="AJ35" s="650"/>
      <c r="AK35" s="650"/>
      <c r="AL35" s="651"/>
      <c r="AM35" s="651"/>
      <c r="AN35" s="645">
        <f t="shared" si="0"/>
        <v>0</v>
      </c>
      <c r="AO35" s="645">
        <f t="shared" si="1"/>
        <v>0</v>
      </c>
      <c r="AP35" s="1274">
        <f t="shared" si="16"/>
        <v>0</v>
      </c>
      <c r="AQ35" s="645" t="s">
        <v>1090</v>
      </c>
      <c r="AR35" s="622">
        <f t="shared" si="17"/>
        <v>0</v>
      </c>
      <c r="AS35" s="1647" t="str">
        <f t="shared" si="3"/>
        <v>-</v>
      </c>
      <c r="AT35" s="1647">
        <f t="shared" si="20"/>
        <v>0</v>
      </c>
      <c r="AU35" s="1215">
        <v>0</v>
      </c>
      <c r="AV35" s="624">
        <v>0</v>
      </c>
      <c r="AW35" s="623" t="s">
        <v>1669</v>
      </c>
      <c r="AX35" s="623" t="s">
        <v>1669</v>
      </c>
      <c r="AY35" s="1688">
        <f t="shared" si="21"/>
        <v>0</v>
      </c>
      <c r="AZ35" s="1707">
        <f t="shared" si="4"/>
        <v>0</v>
      </c>
      <c r="BA35" s="1701">
        <v>0</v>
      </c>
      <c r="BB35" s="1709" t="s">
        <v>1090</v>
      </c>
      <c r="BC35" s="1709">
        <f t="shared" si="22"/>
        <v>0</v>
      </c>
      <c r="BD35" s="1710">
        <v>0</v>
      </c>
      <c r="BE35" s="1745">
        <v>0</v>
      </c>
      <c r="BF35" s="1711"/>
      <c r="BG35" s="1703" t="s">
        <v>1669</v>
      </c>
      <c r="BH35" s="1703" t="s">
        <v>1669</v>
      </c>
      <c r="BI35" s="2184">
        <v>0</v>
      </c>
      <c r="BJ35" s="2183">
        <f t="shared" si="5"/>
        <v>0</v>
      </c>
      <c r="BK35" s="2177">
        <v>0</v>
      </c>
      <c r="BL35" s="2183" t="s">
        <v>1090</v>
      </c>
      <c r="BM35" s="2177">
        <v>0</v>
      </c>
      <c r="BN35" s="2177">
        <v>0</v>
      </c>
      <c r="BO35" s="2307">
        <v>0</v>
      </c>
      <c r="BP35" s="2084" t="s">
        <v>1090</v>
      </c>
      <c r="BQ35" s="2181" t="s">
        <v>1669</v>
      </c>
      <c r="BR35" s="2182" t="s">
        <v>1669</v>
      </c>
      <c r="BS35" s="2377">
        <f t="shared" si="23"/>
        <v>0</v>
      </c>
      <c r="BT35" s="2379">
        <f t="shared" si="6"/>
        <v>0</v>
      </c>
      <c r="BU35" s="2384">
        <v>0</v>
      </c>
      <c r="BV35" s="2379" t="s">
        <v>1090</v>
      </c>
      <c r="BW35" s="2384">
        <v>0</v>
      </c>
      <c r="BX35" s="2384">
        <v>0</v>
      </c>
      <c r="BY35" s="2380"/>
      <c r="BZ35" s="2339"/>
      <c r="CA35" s="2385" t="s">
        <v>2884</v>
      </c>
      <c r="CB35" s="2386" t="s">
        <v>2885</v>
      </c>
    </row>
    <row r="36" spans="1:80" s="606" customFormat="1" ht="20.1" customHeight="1" thickBot="1">
      <c r="A36" s="2652" t="s">
        <v>130</v>
      </c>
      <c r="B36" s="2653"/>
      <c r="C36" s="2717"/>
      <c r="D36" s="2654"/>
      <c r="E36" s="1194"/>
      <c r="F36" s="1194"/>
      <c r="G36" s="1194"/>
      <c r="H36" s="1194"/>
      <c r="I36" s="93">
        <f>SUM(I26:I35)</f>
        <v>0.7142857142857141</v>
      </c>
      <c r="J36" s="1194"/>
      <c r="K36" s="1194"/>
      <c r="L36" s="1194"/>
      <c r="M36" s="1194"/>
      <c r="N36" s="1194"/>
      <c r="O36" s="1194"/>
      <c r="P36" s="1194"/>
      <c r="Q36" s="1194"/>
      <c r="R36" s="1194"/>
      <c r="S36" s="1194"/>
      <c r="T36" s="1194"/>
      <c r="U36" s="1194"/>
      <c r="V36" s="1194"/>
      <c r="W36" s="1194"/>
      <c r="X36" s="1194"/>
      <c r="Y36" s="1194"/>
      <c r="Z36" s="489">
        <f>SUM(Z26:Z33)</f>
        <v>0</v>
      </c>
      <c r="AA36" s="1195"/>
      <c r="AB36" s="1222"/>
      <c r="AC36" s="1222"/>
      <c r="AD36" s="1195"/>
      <c r="AE36" s="1195"/>
      <c r="AF36" s="1195"/>
      <c r="AG36" s="1195"/>
      <c r="AH36" s="1195"/>
      <c r="AI36" s="1195"/>
      <c r="AJ36" s="1195"/>
      <c r="AK36" s="1195"/>
      <c r="AL36" s="1195"/>
      <c r="AM36" s="1195"/>
      <c r="AN36" s="636"/>
      <c r="AO36" s="1272" t="e">
        <f>AVERAGEIF(AO26:AO35,"&gt;0")</f>
        <v>#DIV/0!</v>
      </c>
      <c r="AP36" s="637"/>
      <c r="AQ36" s="637" t="s">
        <v>1090</v>
      </c>
      <c r="AR36" s="636"/>
      <c r="AS36" s="1272" t="s">
        <v>1090</v>
      </c>
      <c r="AT36" s="1261">
        <f>AVERAGE(AT26:AT35)</f>
        <v>0</v>
      </c>
      <c r="AU36" s="1275">
        <f>SUM(AU26:AU35)</f>
        <v>0</v>
      </c>
      <c r="AV36" s="1272" t="e">
        <f>AVERAGEIF(AV25:AV35,"&gt;0")</f>
        <v>#DIV/0!</v>
      </c>
      <c r="AW36" s="636"/>
      <c r="AX36" s="636"/>
      <c r="AY36" s="636"/>
      <c r="AZ36" s="1721">
        <f>AVERAGEIF(AZ26:AZ35,"&gt;0")</f>
        <v>1</v>
      </c>
      <c r="BA36" s="636"/>
      <c r="BB36" s="1261">
        <v>1</v>
      </c>
      <c r="BC36" s="636"/>
      <c r="BD36" s="1721">
        <f>AVERAGE(BD26:BD35)</f>
        <v>0.125</v>
      </c>
      <c r="BE36" s="636"/>
      <c r="BF36" s="636"/>
      <c r="BG36" s="636"/>
      <c r="BH36" s="636"/>
      <c r="BI36" s="636"/>
      <c r="BJ36" s="1721">
        <v>1</v>
      </c>
      <c r="BK36" s="636"/>
      <c r="BL36" s="1261">
        <f>AVERAGE(BL26:BL35)</f>
        <v>0.665</v>
      </c>
      <c r="BM36" s="1261"/>
      <c r="BN36" s="1261">
        <f>AVERAGE(BN26:BN35)</f>
        <v>0.29900000000000004</v>
      </c>
      <c r="BO36" s="636"/>
      <c r="BP36" s="636"/>
      <c r="BQ36" s="636"/>
      <c r="BR36" s="636"/>
      <c r="BS36" s="636"/>
      <c r="BT36" s="1721">
        <v>1</v>
      </c>
      <c r="BU36" s="636"/>
      <c r="BV36" s="1261">
        <f>AVERAGE(BV26:BV35)</f>
        <v>0.7142857142857143</v>
      </c>
      <c r="BW36" s="1261"/>
      <c r="BX36" s="1261">
        <f>AVERAGE(BX26:BX35)</f>
        <v>0.4666666666666666</v>
      </c>
      <c r="BY36" s="636"/>
      <c r="BZ36" s="636"/>
      <c r="CA36" s="636"/>
      <c r="CB36" s="636"/>
    </row>
    <row r="37" spans="1:80" s="606" customFormat="1" ht="20.1" customHeight="1" thickBot="1">
      <c r="A37" s="2660" t="s">
        <v>290</v>
      </c>
      <c r="B37" s="2661"/>
      <c r="C37" s="2661"/>
      <c r="D37" s="2661"/>
      <c r="E37" s="1197"/>
      <c r="F37" s="1198"/>
      <c r="G37" s="1198"/>
      <c r="H37" s="1198"/>
      <c r="I37" s="1198"/>
      <c r="J37" s="1198"/>
      <c r="K37" s="1198"/>
      <c r="L37" s="1198"/>
      <c r="M37" s="1198"/>
      <c r="N37" s="1198"/>
      <c r="O37" s="1198"/>
      <c r="P37" s="1198"/>
      <c r="Q37" s="1198"/>
      <c r="R37" s="1198"/>
      <c r="S37" s="1198"/>
      <c r="T37" s="1198"/>
      <c r="U37" s="1198"/>
      <c r="V37" s="1198"/>
      <c r="W37" s="1198"/>
      <c r="X37" s="1198"/>
      <c r="Y37" s="1198"/>
      <c r="Z37" s="161">
        <f>SUM(Z25,Z36,)</f>
        <v>0</v>
      </c>
      <c r="AA37" s="162"/>
      <c r="AB37" s="1223"/>
      <c r="AC37" s="1223"/>
      <c r="AD37" s="1209"/>
      <c r="AE37" s="1209"/>
      <c r="AF37" s="1209"/>
      <c r="AG37" s="1209"/>
      <c r="AH37" s="1209"/>
      <c r="AI37" s="1209"/>
      <c r="AJ37" s="1209"/>
      <c r="AK37" s="1209"/>
      <c r="AL37" s="1209"/>
      <c r="AM37" s="1209"/>
      <c r="AN37" s="652"/>
      <c r="AO37" s="652"/>
      <c r="AP37" s="653"/>
      <c r="AQ37" s="1606">
        <f>AVERAGE(AQ36,AQ25)</f>
        <v>0.94</v>
      </c>
      <c r="AR37" s="652"/>
      <c r="AS37" s="1277">
        <f>AVERAGE(AS36,AS25)</f>
        <v>0.94</v>
      </c>
      <c r="AT37" s="1277">
        <f>AVERAGE(AT36,AT25)</f>
        <v>0.18777777777777777</v>
      </c>
      <c r="AU37" s="1278">
        <f>SUM(AU36,AU25)</f>
        <v>0</v>
      </c>
      <c r="AV37" s="1279" t="e">
        <f>AVERAGE(AV36,AV25)</f>
        <v>#DIV/0!</v>
      </c>
      <c r="AW37" s="1277"/>
      <c r="AX37" s="652"/>
      <c r="AY37" s="652"/>
      <c r="AZ37" s="1279">
        <f>AVERAGE(AZ36,AZ25)</f>
        <v>1</v>
      </c>
      <c r="BA37" s="652"/>
      <c r="BB37" s="1279">
        <f>AVERAGE(BB36,BB25)</f>
        <v>1</v>
      </c>
      <c r="BC37" s="652"/>
      <c r="BD37" s="1279">
        <f>AVERAGE(BD36,BD25)</f>
        <v>0.2847222222222222</v>
      </c>
      <c r="BE37" s="652"/>
      <c r="BF37" s="652"/>
      <c r="BG37" s="652"/>
      <c r="BH37" s="652"/>
      <c r="BI37" s="652"/>
      <c r="BJ37" s="2186">
        <v>1</v>
      </c>
      <c r="BK37" s="652"/>
      <c r="BL37" s="1279">
        <f>AVERAGE(BL36,BL25)</f>
        <v>0.8325</v>
      </c>
      <c r="BM37" s="1279"/>
      <c r="BN37" s="1279">
        <f>AVERAGE(BN36,BN25)</f>
        <v>0.5661666666666667</v>
      </c>
      <c r="BO37" s="652"/>
      <c r="BP37" s="652"/>
      <c r="BQ37" s="652"/>
      <c r="BR37" s="652"/>
      <c r="BS37" s="652"/>
      <c r="BT37" s="2186">
        <v>1</v>
      </c>
      <c r="BU37" s="652"/>
      <c r="BV37" s="1279">
        <f>AVERAGE(BV36,BV25)</f>
        <v>0.8571428571428572</v>
      </c>
      <c r="BW37" s="1279"/>
      <c r="BX37" s="1279">
        <f>AVERAGE(BX36,BX25)</f>
        <v>0.65</v>
      </c>
      <c r="BY37" s="652"/>
      <c r="BZ37" s="652"/>
      <c r="CA37" s="652"/>
      <c r="CB37" s="652"/>
    </row>
    <row r="38" spans="1:77" s="13" customFormat="1" ht="9.95" customHeight="1" thickBot="1">
      <c r="A38" s="2663"/>
      <c r="B38" s="2663"/>
      <c r="C38" s="2663"/>
      <c r="D38" s="2663"/>
      <c r="E38" s="2663"/>
      <c r="F38" s="2663"/>
      <c r="G38" s="2663"/>
      <c r="H38" s="2663"/>
      <c r="I38" s="2663"/>
      <c r="J38" s="2663"/>
      <c r="K38" s="2663"/>
      <c r="L38" s="2663"/>
      <c r="M38" s="2663"/>
      <c r="N38" s="2663"/>
      <c r="O38" s="2663"/>
      <c r="P38" s="2663"/>
      <c r="Q38" s="2663"/>
      <c r="R38" s="2663"/>
      <c r="S38" s="2663"/>
      <c r="T38" s="2663"/>
      <c r="U38" s="2663"/>
      <c r="V38" s="2663"/>
      <c r="W38" s="2663"/>
      <c r="X38" s="2663"/>
      <c r="Y38" s="2663"/>
      <c r="Z38" s="2663"/>
      <c r="AA38" s="2663"/>
      <c r="AB38" s="1224"/>
      <c r="AC38" s="1224"/>
      <c r="AD38" s="1199"/>
      <c r="AE38" s="1199"/>
      <c r="AF38" s="1199"/>
      <c r="AG38" s="1199"/>
      <c r="AH38" s="1199"/>
      <c r="AI38" s="1199"/>
      <c r="AJ38" s="1199"/>
      <c r="AK38" s="1199"/>
      <c r="AL38" s="1199"/>
      <c r="AM38" s="1199"/>
      <c r="AN38" s="654"/>
      <c r="AO38" s="654"/>
      <c r="AP38" s="654"/>
      <c r="AQ38" s="654"/>
      <c r="AR38" s="654"/>
      <c r="AS38" s="654"/>
      <c r="AT38" s="654"/>
      <c r="AU38" s="654"/>
      <c r="AV38" s="654"/>
      <c r="AW38" s="654"/>
      <c r="AX38" s="654"/>
      <c r="AY38" s="654"/>
      <c r="AZ38" s="654"/>
      <c r="BA38" s="654"/>
      <c r="BB38" s="654"/>
      <c r="BC38" s="654"/>
      <c r="BD38" s="654"/>
      <c r="BE38" s="654"/>
      <c r="BF38" s="654"/>
      <c r="BG38" s="654"/>
      <c r="BH38" s="654"/>
      <c r="BI38" s="654"/>
      <c r="BJ38" s="654"/>
      <c r="BK38" s="654"/>
      <c r="BL38" s="654"/>
      <c r="BM38" s="654"/>
      <c r="BN38" s="654"/>
      <c r="BO38" s="654"/>
      <c r="BS38" s="654"/>
      <c r="BT38" s="654"/>
      <c r="BU38" s="654"/>
      <c r="BV38" s="654"/>
      <c r="BW38" s="654"/>
      <c r="BX38" s="654"/>
      <c r="BY38" s="654"/>
    </row>
    <row r="39" spans="1:80" s="4" customFormat="1" ht="21" customHeight="1" thickBot="1">
      <c r="A39" s="2645" t="s">
        <v>9</v>
      </c>
      <c r="B39" s="2646"/>
      <c r="C39" s="2646"/>
      <c r="D39" s="2647"/>
      <c r="E39" s="2648" t="s">
        <v>820</v>
      </c>
      <c r="F39" s="2649"/>
      <c r="G39" s="2649"/>
      <c r="H39" s="2649"/>
      <c r="I39" s="2649"/>
      <c r="J39" s="2649"/>
      <c r="K39" s="2649"/>
      <c r="L39" s="2649"/>
      <c r="M39" s="2649"/>
      <c r="N39" s="2649"/>
      <c r="O39" s="2649"/>
      <c r="P39" s="2649"/>
      <c r="Q39" s="2649"/>
      <c r="R39" s="2649"/>
      <c r="S39" s="2649"/>
      <c r="T39" s="2649"/>
      <c r="U39" s="2649"/>
      <c r="V39" s="2649"/>
      <c r="W39" s="2649"/>
      <c r="X39" s="2649"/>
      <c r="Y39" s="2649"/>
      <c r="Z39" s="2649"/>
      <c r="AA39" s="2650"/>
      <c r="AB39" s="1225"/>
      <c r="AC39" s="1225"/>
      <c r="AD39" s="1193"/>
      <c r="AE39" s="1193"/>
      <c r="AF39" s="1193"/>
      <c r="AG39" s="1193"/>
      <c r="AH39" s="1193"/>
      <c r="AI39" s="1193"/>
      <c r="AJ39" s="1193"/>
      <c r="AK39" s="1193"/>
      <c r="AL39" s="1193"/>
      <c r="AM39" s="1193"/>
      <c r="AN39" s="2679" t="s">
        <v>820</v>
      </c>
      <c r="AO39" s="2679"/>
      <c r="AP39" s="2679"/>
      <c r="AQ39" s="2679"/>
      <c r="AR39" s="2679"/>
      <c r="AS39" s="2679"/>
      <c r="AT39" s="2679"/>
      <c r="AU39" s="2679"/>
      <c r="AV39" s="2679"/>
      <c r="AW39" s="2679"/>
      <c r="AX39" s="2679"/>
      <c r="AY39" s="2679" t="s">
        <v>820</v>
      </c>
      <c r="AZ39" s="2679"/>
      <c r="BA39" s="2679"/>
      <c r="BB39" s="2679"/>
      <c r="BC39" s="2679"/>
      <c r="BD39" s="2679"/>
      <c r="BE39" s="2679"/>
      <c r="BF39" s="2679"/>
      <c r="BG39" s="2679"/>
      <c r="BH39" s="2679"/>
      <c r="BI39" s="2680" t="s">
        <v>820</v>
      </c>
      <c r="BJ39" s="2681"/>
      <c r="BK39" s="2681"/>
      <c r="BL39" s="2681"/>
      <c r="BM39" s="2681"/>
      <c r="BN39" s="2681"/>
      <c r="BO39" s="2681"/>
      <c r="BP39" s="2681"/>
      <c r="BQ39" s="2681"/>
      <c r="BR39" s="2682"/>
      <c r="BS39" s="2680" t="s">
        <v>820</v>
      </c>
      <c r="BT39" s="2681"/>
      <c r="BU39" s="2681"/>
      <c r="BV39" s="2681"/>
      <c r="BW39" s="2681"/>
      <c r="BX39" s="2681"/>
      <c r="BY39" s="2681"/>
      <c r="BZ39" s="2681"/>
      <c r="CA39" s="2681"/>
      <c r="CB39" s="2682"/>
    </row>
    <row r="40" spans="2:77" s="13" customFormat="1" ht="9.95" customHeight="1" thickBot="1">
      <c r="B40" s="14"/>
      <c r="F40" s="243"/>
      <c r="I40" s="244"/>
      <c r="K40" s="245"/>
      <c r="L40" s="245"/>
      <c r="Z40" s="388"/>
      <c r="AB40" s="1226"/>
      <c r="AC40" s="1226"/>
      <c r="AN40" s="655"/>
      <c r="AO40" s="655"/>
      <c r="AP40" s="655"/>
      <c r="AQ40" s="655"/>
      <c r="AR40" s="655"/>
      <c r="AS40" s="655"/>
      <c r="AT40" s="655"/>
      <c r="AU40" s="655"/>
      <c r="AV40" s="655"/>
      <c r="AW40" s="655"/>
      <c r="AX40" s="655"/>
      <c r="AY40" s="656"/>
      <c r="AZ40" s="656"/>
      <c r="BA40" s="656"/>
      <c r="BB40" s="656"/>
      <c r="BC40" s="656"/>
      <c r="BD40" s="656"/>
      <c r="BE40" s="656"/>
      <c r="BF40" s="656"/>
      <c r="BG40" s="656"/>
      <c r="BH40" s="656"/>
      <c r="BI40" s="656"/>
      <c r="BJ40" s="656"/>
      <c r="BK40" s="656"/>
      <c r="BL40" s="656"/>
      <c r="BM40" s="656"/>
      <c r="BN40" s="656"/>
      <c r="BO40" s="656"/>
      <c r="BS40" s="656"/>
      <c r="BT40" s="656"/>
      <c r="BU40" s="656"/>
      <c r="BV40" s="656"/>
      <c r="BW40" s="656"/>
      <c r="BX40" s="656"/>
      <c r="BY40" s="656"/>
    </row>
    <row r="41" spans="1:80" s="35" customFormat="1" ht="71.25" customHeight="1" thickBot="1">
      <c r="A41" s="22" t="s">
        <v>11</v>
      </c>
      <c r="B41" s="23" t="s">
        <v>12</v>
      </c>
      <c r="C41" s="22" t="s">
        <v>13</v>
      </c>
      <c r="D41" s="249" t="s">
        <v>14</v>
      </c>
      <c r="E41" s="24" t="s">
        <v>15</v>
      </c>
      <c r="F41" s="25" t="s">
        <v>16</v>
      </c>
      <c r="G41" s="26" t="s">
        <v>17</v>
      </c>
      <c r="H41" s="26" t="s">
        <v>18</v>
      </c>
      <c r="I41" s="27" t="s">
        <v>19</v>
      </c>
      <c r="J41" s="26" t="s">
        <v>20</v>
      </c>
      <c r="K41" s="26" t="s">
        <v>21</v>
      </c>
      <c r="L41" s="26" t="s">
        <v>22</v>
      </c>
      <c r="M41" s="28" t="s">
        <v>23</v>
      </c>
      <c r="N41" s="28" t="s">
        <v>24</v>
      </c>
      <c r="O41" s="28" t="s">
        <v>25</v>
      </c>
      <c r="P41" s="28" t="s">
        <v>26</v>
      </c>
      <c r="Q41" s="28" t="s">
        <v>27</v>
      </c>
      <c r="R41" s="28" t="s">
        <v>28</v>
      </c>
      <c r="S41" s="28" t="s">
        <v>29</v>
      </c>
      <c r="T41" s="28" t="s">
        <v>30</v>
      </c>
      <c r="U41" s="28" t="s">
        <v>31</v>
      </c>
      <c r="V41" s="28" t="s">
        <v>32</v>
      </c>
      <c r="W41" s="28" t="s">
        <v>33</v>
      </c>
      <c r="X41" s="28" t="s">
        <v>34</v>
      </c>
      <c r="Y41" s="26" t="s">
        <v>35</v>
      </c>
      <c r="Z41" s="30" t="s">
        <v>36</v>
      </c>
      <c r="AA41" s="31" t="s">
        <v>37</v>
      </c>
      <c r="AB41" s="1213" t="s">
        <v>23</v>
      </c>
      <c r="AC41" s="1213" t="s">
        <v>24</v>
      </c>
      <c r="AD41" s="657"/>
      <c r="AE41" s="657"/>
      <c r="AF41" s="657"/>
      <c r="AG41" s="657"/>
      <c r="AH41" s="657"/>
      <c r="AI41" s="657"/>
      <c r="AJ41" s="657"/>
      <c r="AK41" s="657"/>
      <c r="AL41" s="657"/>
      <c r="AM41" s="657"/>
      <c r="AN41" s="613" t="s">
        <v>38</v>
      </c>
      <c r="AO41" s="613" t="s">
        <v>1781</v>
      </c>
      <c r="AP41" s="613" t="s">
        <v>39</v>
      </c>
      <c r="AQ41" s="613" t="s">
        <v>1786</v>
      </c>
      <c r="AR41" s="613" t="s">
        <v>1785</v>
      </c>
      <c r="AS41" s="613" t="s">
        <v>1782</v>
      </c>
      <c r="AT41" s="613" t="s">
        <v>1783</v>
      </c>
      <c r="AU41" s="613" t="s">
        <v>41</v>
      </c>
      <c r="AV41" s="613" t="s">
        <v>42</v>
      </c>
      <c r="AW41" s="613" t="s">
        <v>43</v>
      </c>
      <c r="AX41" s="613" t="s">
        <v>44</v>
      </c>
      <c r="AY41" s="614" t="s">
        <v>45</v>
      </c>
      <c r="AZ41" s="614" t="s">
        <v>1781</v>
      </c>
      <c r="BA41" s="614" t="s">
        <v>46</v>
      </c>
      <c r="BB41" s="614" t="s">
        <v>2024</v>
      </c>
      <c r="BC41" s="614" t="s">
        <v>1785</v>
      </c>
      <c r="BD41" s="614" t="s">
        <v>2195</v>
      </c>
      <c r="BE41" s="614" t="s">
        <v>41</v>
      </c>
      <c r="BF41" s="614" t="s">
        <v>42</v>
      </c>
      <c r="BG41" s="614" t="s">
        <v>43</v>
      </c>
      <c r="BH41" s="614" t="s">
        <v>44</v>
      </c>
      <c r="BI41" s="2067" t="s">
        <v>47</v>
      </c>
      <c r="BJ41" s="2067" t="s">
        <v>1781</v>
      </c>
      <c r="BK41" s="2067" t="s">
        <v>48</v>
      </c>
      <c r="BL41" s="2067" t="s">
        <v>2621</v>
      </c>
      <c r="BM41" s="2067" t="s">
        <v>1785</v>
      </c>
      <c r="BN41" s="2067" t="s">
        <v>2622</v>
      </c>
      <c r="BO41" s="2067" t="s">
        <v>41</v>
      </c>
      <c r="BP41" s="2067" t="s">
        <v>42</v>
      </c>
      <c r="BQ41" s="2067" t="s">
        <v>43</v>
      </c>
      <c r="BR41" s="2067" t="s">
        <v>44</v>
      </c>
      <c r="BS41" s="2367" t="s">
        <v>49</v>
      </c>
      <c r="BT41" s="2367" t="s">
        <v>1781</v>
      </c>
      <c r="BU41" s="2367" t="s">
        <v>50</v>
      </c>
      <c r="BV41" s="2367" t="s">
        <v>2857</v>
      </c>
      <c r="BW41" s="2367" t="s">
        <v>1785</v>
      </c>
      <c r="BX41" s="2367" t="s">
        <v>2858</v>
      </c>
      <c r="BY41" s="2367" t="s">
        <v>41</v>
      </c>
      <c r="BZ41" s="2367" t="s">
        <v>42</v>
      </c>
      <c r="CA41" s="2367" t="s">
        <v>43</v>
      </c>
      <c r="CB41" s="2367" t="s">
        <v>44</v>
      </c>
    </row>
    <row r="42" spans="1:80" s="49" customFormat="1" ht="144" customHeight="1" thickBot="1">
      <c r="A42" s="2688">
        <v>1</v>
      </c>
      <c r="B42" s="2720" t="s">
        <v>1247</v>
      </c>
      <c r="C42" s="2656" t="s">
        <v>1248</v>
      </c>
      <c r="D42" s="94" t="s">
        <v>1525</v>
      </c>
      <c r="E42" s="309" t="s">
        <v>1526</v>
      </c>
      <c r="F42" s="309">
        <v>100</v>
      </c>
      <c r="G42" s="309" t="s">
        <v>1527</v>
      </c>
      <c r="H42" s="65" t="s">
        <v>1249</v>
      </c>
      <c r="I42" s="65">
        <v>7</v>
      </c>
      <c r="J42" s="65" t="s">
        <v>1528</v>
      </c>
      <c r="K42" s="117">
        <v>42019</v>
      </c>
      <c r="L42" s="117">
        <v>42353</v>
      </c>
      <c r="M42" s="658"/>
      <c r="N42" s="658"/>
      <c r="O42" s="659">
        <v>0.1</v>
      </c>
      <c r="P42" s="659">
        <v>0.1</v>
      </c>
      <c r="Q42" s="659">
        <v>0.1</v>
      </c>
      <c r="R42" s="659">
        <v>0.1</v>
      </c>
      <c r="S42" s="659">
        <v>0.1</v>
      </c>
      <c r="T42" s="659">
        <v>0.1</v>
      </c>
      <c r="U42" s="659">
        <v>0.1</v>
      </c>
      <c r="V42" s="659">
        <v>0.1</v>
      </c>
      <c r="W42" s="659">
        <v>0.1</v>
      </c>
      <c r="X42" s="659">
        <v>0.1</v>
      </c>
      <c r="Y42" s="538">
        <f aca="true" t="shared" si="25" ref="Y42:Y86">SUM(M42:X42)</f>
        <v>0.9999999999999999</v>
      </c>
      <c r="Z42" s="1227">
        <v>4230544156</v>
      </c>
      <c r="AA42" s="1228" t="s">
        <v>1529</v>
      </c>
      <c r="AB42" s="1229">
        <v>0</v>
      </c>
      <c r="AC42" s="1229">
        <v>0.28</v>
      </c>
      <c r="AD42" s="660"/>
      <c r="AE42" s="660"/>
      <c r="AF42" s="661"/>
      <c r="AG42" s="661"/>
      <c r="AH42" s="662"/>
      <c r="AI42" s="662"/>
      <c r="AJ42" s="663"/>
      <c r="AK42" s="663"/>
      <c r="AL42" s="664"/>
      <c r="AM42" s="664"/>
      <c r="AN42" s="645">
        <f aca="true" t="shared" si="26" ref="AN42:AN90">SUM(M42:N42)</f>
        <v>0</v>
      </c>
      <c r="AO42" s="645">
        <f aca="true" t="shared" si="27" ref="AO42:AO56">IF(AN42=0,0%,100%)</f>
        <v>0</v>
      </c>
      <c r="AP42" s="632">
        <f aca="true" t="shared" si="28" ref="AP42:AP90">SUM(AB42:AC42)</f>
        <v>0.28</v>
      </c>
      <c r="AQ42" s="645" t="s">
        <v>1090</v>
      </c>
      <c r="AR42" s="622">
        <f>+AP42/Y42</f>
        <v>0.2800000000000001</v>
      </c>
      <c r="AS42" s="1647" t="str">
        <f aca="true" t="shared" si="29" ref="AS42:AS56">IF(AO42&gt;0,AQ42,"-")</f>
        <v>-</v>
      </c>
      <c r="AT42" s="1647">
        <f>AR42</f>
        <v>0.2800000000000001</v>
      </c>
      <c r="AU42" s="1215">
        <v>1197897843</v>
      </c>
      <c r="AV42" s="1230">
        <f>+AU42/Z42</f>
        <v>0.2831545538417493</v>
      </c>
      <c r="AW42" s="665" t="s">
        <v>1685</v>
      </c>
      <c r="AX42" s="665"/>
      <c r="AY42" s="1699">
        <v>0.2</v>
      </c>
      <c r="AZ42" s="1699">
        <f aca="true" t="shared" si="30" ref="AZ42:AZ90">IF(AY42=0,0%,100%)</f>
        <v>1</v>
      </c>
      <c r="BA42" s="1709">
        <v>0.2</v>
      </c>
      <c r="BB42" s="1715">
        <f aca="true" t="shared" si="31" ref="BB42:BB48">BA42/AY42</f>
        <v>1</v>
      </c>
      <c r="BC42" s="1715">
        <f>BA42/Y42</f>
        <v>0.20000000000000004</v>
      </c>
      <c r="BD42" s="1699">
        <f aca="true" t="shared" si="32" ref="BD42:BD87">IF(AZ42&gt;0,BB42,"-")</f>
        <v>1</v>
      </c>
      <c r="BE42" s="1745">
        <v>1450702448</v>
      </c>
      <c r="BF42" s="1699">
        <v>0.34</v>
      </c>
      <c r="BG42" s="1702" t="s">
        <v>2037</v>
      </c>
      <c r="BH42" s="1702" t="s">
        <v>2038</v>
      </c>
      <c r="BI42" s="2085">
        <v>0.4</v>
      </c>
      <c r="BJ42" s="2183">
        <f aca="true" t="shared" si="33" ref="BJ42:BJ90">IF(BI42=0,0%,100%)</f>
        <v>1</v>
      </c>
      <c r="BK42" s="2177">
        <v>0.674</v>
      </c>
      <c r="BL42" s="2183">
        <v>1</v>
      </c>
      <c r="BM42" s="2085">
        <v>0.67</v>
      </c>
      <c r="BN42" s="2085">
        <v>0.67</v>
      </c>
      <c r="BO42" s="2190">
        <v>2850223542</v>
      </c>
      <c r="BP42" s="2191">
        <v>0.6737250426656461</v>
      </c>
      <c r="BQ42" s="2178" t="s">
        <v>2638</v>
      </c>
      <c r="BR42" s="1988" t="s">
        <v>2639</v>
      </c>
      <c r="BS42" s="2373">
        <f>SUM(M42:T42)</f>
        <v>0.6</v>
      </c>
      <c r="BT42" s="2379">
        <f aca="true" t="shared" si="34" ref="BT42:BT90">IF(BS42=0,0%,100%)</f>
        <v>1</v>
      </c>
      <c r="BU42" s="2384">
        <v>0.6858000000000001</v>
      </c>
      <c r="BV42" s="2379">
        <v>1</v>
      </c>
      <c r="BW42" s="2373">
        <v>0.6858000000000002</v>
      </c>
      <c r="BX42" s="2373">
        <f>BU42/Y42</f>
        <v>0.6858000000000002</v>
      </c>
      <c r="BY42" s="2387"/>
      <c r="BZ42" s="2388"/>
      <c r="CA42" s="2381" t="s">
        <v>2886</v>
      </c>
      <c r="CB42" s="2376" t="s">
        <v>2887</v>
      </c>
    </row>
    <row r="43" spans="1:80" s="49" customFormat="1" ht="299.25" customHeight="1" thickBot="1">
      <c r="A43" s="2689"/>
      <c r="B43" s="2721"/>
      <c r="C43" s="2657"/>
      <c r="D43" s="94" t="s">
        <v>1250</v>
      </c>
      <c r="E43" s="309" t="s">
        <v>2866</v>
      </c>
      <c r="F43" s="309" t="s">
        <v>100</v>
      </c>
      <c r="G43" s="309" t="s">
        <v>1251</v>
      </c>
      <c r="H43" s="309" t="s">
        <v>1249</v>
      </c>
      <c r="I43" s="65">
        <v>7</v>
      </c>
      <c r="J43" s="65" t="s">
        <v>1528</v>
      </c>
      <c r="K43" s="67">
        <v>42019</v>
      </c>
      <c r="L43" s="67">
        <v>42353</v>
      </c>
      <c r="M43" s="2705">
        <v>1</v>
      </c>
      <c r="N43" s="2706"/>
      <c r="O43" s="2706"/>
      <c r="P43" s="2706"/>
      <c r="Q43" s="2706"/>
      <c r="R43" s="2706"/>
      <c r="S43" s="2706"/>
      <c r="T43" s="2706"/>
      <c r="U43" s="2706"/>
      <c r="V43" s="2706"/>
      <c r="W43" s="2706"/>
      <c r="X43" s="2707"/>
      <c r="Y43" s="2427">
        <v>1</v>
      </c>
      <c r="Z43" s="75">
        <v>0</v>
      </c>
      <c r="AA43" s="278"/>
      <c r="AB43" s="1231">
        <v>0</v>
      </c>
      <c r="AC43" s="1231">
        <v>111</v>
      </c>
      <c r="AD43" s="666"/>
      <c r="AE43" s="666"/>
      <c r="AF43" s="667"/>
      <c r="AG43" s="668"/>
      <c r="AH43" s="669"/>
      <c r="AI43" s="670"/>
      <c r="AJ43" s="671"/>
      <c r="AK43" s="671"/>
      <c r="AL43" s="672"/>
      <c r="AM43" s="672"/>
      <c r="AN43" s="634">
        <v>111</v>
      </c>
      <c r="AO43" s="645">
        <f t="shared" si="27"/>
        <v>1</v>
      </c>
      <c r="AP43" s="621">
        <f t="shared" si="28"/>
        <v>111</v>
      </c>
      <c r="AQ43" s="645">
        <f aca="true" t="shared" si="35" ref="AQ43:AQ55">AP43/AN43</f>
        <v>1</v>
      </c>
      <c r="AR43" s="622">
        <f>+AP43/AC43</f>
        <v>1</v>
      </c>
      <c r="AS43" s="1647">
        <f t="shared" si="29"/>
        <v>1</v>
      </c>
      <c r="AT43" s="1647">
        <f aca="true" t="shared" si="36" ref="AT43:AT56">AR43</f>
        <v>1</v>
      </c>
      <c r="AU43" s="1215">
        <v>0</v>
      </c>
      <c r="AV43" s="624">
        <v>0</v>
      </c>
      <c r="AW43" s="665" t="s">
        <v>1686</v>
      </c>
      <c r="AX43" s="665"/>
      <c r="AY43" s="1694">
        <f>SUM(M43:P43)</f>
        <v>1</v>
      </c>
      <c r="AZ43" s="1699">
        <f t="shared" si="30"/>
        <v>1</v>
      </c>
      <c r="BA43" s="1708">
        <v>100</v>
      </c>
      <c r="BB43" s="1715" t="s">
        <v>1090</v>
      </c>
      <c r="BC43" s="1715" t="s">
        <v>1090</v>
      </c>
      <c r="BD43" s="1699" t="s">
        <v>1090</v>
      </c>
      <c r="BE43" s="1745">
        <v>0</v>
      </c>
      <c r="BF43" s="1692"/>
      <c r="BG43" s="1702" t="s">
        <v>2039</v>
      </c>
      <c r="BH43" s="1703" t="s">
        <v>1669</v>
      </c>
      <c r="BI43" s="2084">
        <v>1</v>
      </c>
      <c r="BJ43" s="2183">
        <f t="shared" si="33"/>
        <v>1</v>
      </c>
      <c r="BK43" s="2177">
        <v>1</v>
      </c>
      <c r="BL43" s="2183">
        <v>1</v>
      </c>
      <c r="BM43" s="2085" t="s">
        <v>1090</v>
      </c>
      <c r="BN43" s="2085" t="s">
        <v>1090</v>
      </c>
      <c r="BO43" s="2307">
        <v>0</v>
      </c>
      <c r="BP43" s="2084" t="s">
        <v>1090</v>
      </c>
      <c r="BQ43" s="2178" t="s">
        <v>2640</v>
      </c>
      <c r="BR43" s="1988"/>
      <c r="BS43" s="2373">
        <f aca="true" t="shared" si="37" ref="BS43:BS59">SUM(M43:T43)</f>
        <v>1</v>
      </c>
      <c r="BT43" s="2379">
        <f t="shared" si="34"/>
        <v>1</v>
      </c>
      <c r="BU43" s="2384">
        <v>1</v>
      </c>
      <c r="BV43" s="2379">
        <v>1</v>
      </c>
      <c r="BW43" s="2373">
        <v>1</v>
      </c>
      <c r="BX43" s="2373">
        <v>1</v>
      </c>
      <c r="BY43" s="2380"/>
      <c r="BZ43" s="2339"/>
      <c r="CA43" s="2381" t="s">
        <v>2888</v>
      </c>
      <c r="CB43" s="2376" t="s">
        <v>1770</v>
      </c>
    </row>
    <row r="44" spans="1:80" s="49" customFormat="1" ht="99.75" thickBot="1">
      <c r="A44" s="2689"/>
      <c r="B44" s="2721"/>
      <c r="C44" s="2657"/>
      <c r="D44" s="94" t="s">
        <v>1530</v>
      </c>
      <c r="E44" s="309" t="s">
        <v>1687</v>
      </c>
      <c r="F44" s="309">
        <v>100</v>
      </c>
      <c r="G44" s="309" t="s">
        <v>1531</v>
      </c>
      <c r="H44" s="65" t="s">
        <v>1249</v>
      </c>
      <c r="I44" s="65">
        <v>7</v>
      </c>
      <c r="J44" s="65" t="s">
        <v>1528</v>
      </c>
      <c r="K44" s="117">
        <v>42019</v>
      </c>
      <c r="L44" s="117">
        <v>42353</v>
      </c>
      <c r="M44" s="658"/>
      <c r="N44" s="659"/>
      <c r="O44" s="659">
        <v>0.1</v>
      </c>
      <c r="P44" s="659">
        <v>0.1</v>
      </c>
      <c r="Q44" s="659">
        <v>0.1</v>
      </c>
      <c r="R44" s="659">
        <v>0.1</v>
      </c>
      <c r="S44" s="659">
        <v>0.1</v>
      </c>
      <c r="T44" s="659">
        <v>0.1</v>
      </c>
      <c r="U44" s="659">
        <v>0.1</v>
      </c>
      <c r="V44" s="659">
        <v>0.1</v>
      </c>
      <c r="W44" s="659">
        <v>0.1</v>
      </c>
      <c r="X44" s="659">
        <v>0.1</v>
      </c>
      <c r="Y44" s="538">
        <f t="shared" si="25"/>
        <v>0.9999999999999999</v>
      </c>
      <c r="Z44" s="75">
        <v>0</v>
      </c>
      <c r="AA44" s="673"/>
      <c r="AB44" s="1229">
        <v>0</v>
      </c>
      <c r="AC44" s="1229">
        <v>0</v>
      </c>
      <c r="AD44" s="660"/>
      <c r="AE44" s="660"/>
      <c r="AF44" s="661"/>
      <c r="AG44" s="661"/>
      <c r="AH44" s="662"/>
      <c r="AI44" s="662"/>
      <c r="AJ44" s="663"/>
      <c r="AK44" s="663"/>
      <c r="AL44" s="664"/>
      <c r="AM44" s="664"/>
      <c r="AN44" s="645">
        <f t="shared" si="26"/>
        <v>0</v>
      </c>
      <c r="AO44" s="645">
        <f t="shared" si="27"/>
        <v>0</v>
      </c>
      <c r="AP44" s="632">
        <f t="shared" si="28"/>
        <v>0</v>
      </c>
      <c r="AQ44" s="645" t="s">
        <v>1090</v>
      </c>
      <c r="AR44" s="622">
        <f aca="true" t="shared" si="38" ref="AR44:AR56">+AP44/Y44</f>
        <v>0</v>
      </c>
      <c r="AS44" s="1647" t="str">
        <f t="shared" si="29"/>
        <v>-</v>
      </c>
      <c r="AT44" s="1647">
        <f t="shared" si="36"/>
        <v>0</v>
      </c>
      <c r="AU44" s="1215">
        <v>0</v>
      </c>
      <c r="AV44" s="624">
        <v>0</v>
      </c>
      <c r="AW44" s="665" t="s">
        <v>1688</v>
      </c>
      <c r="AX44" s="665"/>
      <c r="AY44" s="1699">
        <f aca="true" t="shared" si="39" ref="AY44:AY56">SUM(M44:P44)</f>
        <v>0.2</v>
      </c>
      <c r="AZ44" s="1699">
        <f t="shared" si="30"/>
        <v>1</v>
      </c>
      <c r="BA44" s="1724">
        <v>0</v>
      </c>
      <c r="BB44" s="1715" t="s">
        <v>1090</v>
      </c>
      <c r="BC44" s="1715">
        <f>BA44/Y44</f>
        <v>0</v>
      </c>
      <c r="BD44" s="1699">
        <v>0</v>
      </c>
      <c r="BE44" s="1745">
        <v>0</v>
      </c>
      <c r="BF44" s="1692"/>
      <c r="BG44" s="1702" t="s">
        <v>2040</v>
      </c>
      <c r="BH44" s="1703" t="s">
        <v>1669</v>
      </c>
      <c r="BI44" s="2085">
        <v>0.4</v>
      </c>
      <c r="BJ44" s="2183">
        <f t="shared" si="33"/>
        <v>1</v>
      </c>
      <c r="BK44" s="2177">
        <v>0</v>
      </c>
      <c r="BL44" s="2183">
        <v>0</v>
      </c>
      <c r="BM44" s="2085">
        <v>0</v>
      </c>
      <c r="BN44" s="2085">
        <v>0</v>
      </c>
      <c r="BO44" s="2307">
        <v>0</v>
      </c>
      <c r="BP44" s="2084" t="s">
        <v>1090</v>
      </c>
      <c r="BQ44" s="2178" t="s">
        <v>2641</v>
      </c>
      <c r="BR44" s="1988"/>
      <c r="BS44" s="2373">
        <f t="shared" si="37"/>
        <v>0.6</v>
      </c>
      <c r="BT44" s="2379">
        <f t="shared" si="34"/>
        <v>1</v>
      </c>
      <c r="BU44" s="2384">
        <v>0</v>
      </c>
      <c r="BV44" s="2379">
        <v>0</v>
      </c>
      <c r="BW44" s="2373">
        <v>0</v>
      </c>
      <c r="BX44" s="2373">
        <v>0</v>
      </c>
      <c r="BY44" s="2380"/>
      <c r="BZ44" s="2339"/>
      <c r="CA44" s="2381" t="s">
        <v>2889</v>
      </c>
      <c r="CB44" s="2376" t="s">
        <v>2890</v>
      </c>
    </row>
    <row r="45" spans="1:80" s="49" customFormat="1" ht="231.75" thickBot="1">
      <c r="A45" s="2689"/>
      <c r="B45" s="2721"/>
      <c r="C45" s="2657"/>
      <c r="D45" s="250" t="s">
        <v>1252</v>
      </c>
      <c r="E45" s="65" t="s">
        <v>1689</v>
      </c>
      <c r="F45" s="65">
        <v>34</v>
      </c>
      <c r="G45" s="65" t="s">
        <v>1690</v>
      </c>
      <c r="H45" s="65" t="s">
        <v>1253</v>
      </c>
      <c r="I45" s="65">
        <v>7</v>
      </c>
      <c r="J45" s="65" t="s">
        <v>1532</v>
      </c>
      <c r="K45" s="117">
        <v>42019</v>
      </c>
      <c r="L45" s="117">
        <v>42353</v>
      </c>
      <c r="M45" s="125"/>
      <c r="N45" s="125">
        <v>15</v>
      </c>
      <c r="O45" s="125">
        <v>10</v>
      </c>
      <c r="P45" s="125">
        <v>6</v>
      </c>
      <c r="Q45" s="125"/>
      <c r="R45" s="126"/>
      <c r="S45" s="566">
        <v>2</v>
      </c>
      <c r="T45" s="125"/>
      <c r="U45" s="126"/>
      <c r="V45" s="126">
        <v>1</v>
      </c>
      <c r="W45" s="126"/>
      <c r="X45" s="126"/>
      <c r="Y45" s="506">
        <f t="shared" si="25"/>
        <v>34</v>
      </c>
      <c r="Z45" s="75">
        <v>0</v>
      </c>
      <c r="AA45" s="673"/>
      <c r="AB45" s="1232">
        <v>14</v>
      </c>
      <c r="AC45" s="1232">
        <v>2</v>
      </c>
      <c r="AD45" s="674"/>
      <c r="AE45" s="674"/>
      <c r="AF45" s="675"/>
      <c r="AG45" s="676"/>
      <c r="AH45" s="677"/>
      <c r="AI45" s="678"/>
      <c r="AJ45" s="679"/>
      <c r="AK45" s="679"/>
      <c r="AL45" s="680"/>
      <c r="AM45" s="680"/>
      <c r="AN45" s="634">
        <f t="shared" si="26"/>
        <v>15</v>
      </c>
      <c r="AO45" s="645">
        <f t="shared" si="27"/>
        <v>1</v>
      </c>
      <c r="AP45" s="621">
        <f t="shared" si="28"/>
        <v>16</v>
      </c>
      <c r="AQ45" s="645">
        <f t="shared" si="35"/>
        <v>1.0666666666666667</v>
      </c>
      <c r="AR45" s="622">
        <f t="shared" si="38"/>
        <v>0.47058823529411764</v>
      </c>
      <c r="AS45" s="1647">
        <f t="shared" si="29"/>
        <v>1.0666666666666667</v>
      </c>
      <c r="AT45" s="1647">
        <f t="shared" si="36"/>
        <v>0.47058823529411764</v>
      </c>
      <c r="AU45" s="1215">
        <v>0</v>
      </c>
      <c r="AV45" s="624">
        <v>0</v>
      </c>
      <c r="AW45" s="665" t="s">
        <v>1691</v>
      </c>
      <c r="AX45" s="665"/>
      <c r="AY45" s="1697">
        <f>SUM(M45:P45)</f>
        <v>31</v>
      </c>
      <c r="AZ45" s="1699">
        <f t="shared" si="30"/>
        <v>1</v>
      </c>
      <c r="BA45" s="1708">
        <v>21</v>
      </c>
      <c r="BB45" s="1715">
        <f t="shared" si="31"/>
        <v>0.6774193548387096</v>
      </c>
      <c r="BC45" s="1715">
        <f>BA45/Y45</f>
        <v>0.6176470588235294</v>
      </c>
      <c r="BD45" s="1699">
        <f t="shared" si="32"/>
        <v>0.6774193548387096</v>
      </c>
      <c r="BE45" s="1745">
        <v>0</v>
      </c>
      <c r="BF45" s="1692"/>
      <c r="BG45" s="1702" t="s">
        <v>2041</v>
      </c>
      <c r="BH45" s="1702" t="s">
        <v>2042</v>
      </c>
      <c r="BI45" s="2084">
        <f>SUM(M45:R45)</f>
        <v>31</v>
      </c>
      <c r="BJ45" s="2183">
        <f t="shared" si="33"/>
        <v>1</v>
      </c>
      <c r="BK45" s="2176">
        <v>27</v>
      </c>
      <c r="BL45" s="2183">
        <f>BK45/BI45</f>
        <v>0.8709677419354839</v>
      </c>
      <c r="BM45" s="2085">
        <v>0.79</v>
      </c>
      <c r="BN45" s="2085">
        <v>0.79</v>
      </c>
      <c r="BO45" s="2307">
        <v>0</v>
      </c>
      <c r="BP45" s="2084" t="s">
        <v>1090</v>
      </c>
      <c r="BQ45" s="2178" t="s">
        <v>2642</v>
      </c>
      <c r="BR45" s="1988"/>
      <c r="BS45" s="2440">
        <v>33</v>
      </c>
      <c r="BT45" s="2379">
        <f t="shared" si="34"/>
        <v>1</v>
      </c>
      <c r="BU45" s="2383">
        <v>30</v>
      </c>
      <c r="BV45" s="2379">
        <f>BU45/BS45</f>
        <v>0.9090909090909091</v>
      </c>
      <c r="BW45" s="2373">
        <v>0.8823529411764706</v>
      </c>
      <c r="BX45" s="2373">
        <f>BU45/Y45</f>
        <v>0.8823529411764706</v>
      </c>
      <c r="BY45" s="2380"/>
      <c r="BZ45" s="2339"/>
      <c r="CA45" s="2381" t="s">
        <v>2891</v>
      </c>
      <c r="CB45" s="2376" t="s">
        <v>1770</v>
      </c>
    </row>
    <row r="46" spans="1:80" s="49" customFormat="1" ht="108.75" thickBot="1">
      <c r="A46" s="2689"/>
      <c r="B46" s="2721"/>
      <c r="C46" s="2657"/>
      <c r="D46" s="250" t="s">
        <v>1254</v>
      </c>
      <c r="E46" s="65" t="s">
        <v>1255</v>
      </c>
      <c r="F46" s="65">
        <v>100</v>
      </c>
      <c r="G46" s="65" t="s">
        <v>1256</v>
      </c>
      <c r="H46" s="65" t="s">
        <v>1306</v>
      </c>
      <c r="I46" s="65">
        <v>7</v>
      </c>
      <c r="J46" s="65" t="s">
        <v>1255</v>
      </c>
      <c r="K46" s="117">
        <v>42019</v>
      </c>
      <c r="L46" s="117">
        <v>42186</v>
      </c>
      <c r="M46" s="125"/>
      <c r="N46" s="125"/>
      <c r="O46" s="125"/>
      <c r="P46" s="125"/>
      <c r="Q46" s="125"/>
      <c r="R46" s="126"/>
      <c r="S46" s="567">
        <v>1</v>
      </c>
      <c r="T46" s="125"/>
      <c r="U46" s="126"/>
      <c r="V46" s="126"/>
      <c r="W46" s="126"/>
      <c r="X46" s="126"/>
      <c r="Y46" s="538">
        <f t="shared" si="25"/>
        <v>1</v>
      </c>
      <c r="Z46" s="75">
        <v>0</v>
      </c>
      <c r="AA46" s="673"/>
      <c r="AB46" s="1229">
        <v>0.05</v>
      </c>
      <c r="AC46" s="1229">
        <v>0.04</v>
      </c>
      <c r="AD46" s="674"/>
      <c r="AE46" s="674"/>
      <c r="AF46" s="675"/>
      <c r="AG46" s="676"/>
      <c r="AH46" s="681"/>
      <c r="AI46" s="678"/>
      <c r="AJ46" s="679"/>
      <c r="AK46" s="679"/>
      <c r="AL46" s="680"/>
      <c r="AM46" s="680"/>
      <c r="AN46" s="645">
        <f t="shared" si="26"/>
        <v>0</v>
      </c>
      <c r="AO46" s="645">
        <f t="shared" si="27"/>
        <v>0</v>
      </c>
      <c r="AP46" s="632">
        <f t="shared" si="28"/>
        <v>0.09</v>
      </c>
      <c r="AQ46" s="645" t="s">
        <v>1090</v>
      </c>
      <c r="AR46" s="622">
        <f t="shared" si="38"/>
        <v>0.09</v>
      </c>
      <c r="AS46" s="1647" t="str">
        <f t="shared" si="29"/>
        <v>-</v>
      </c>
      <c r="AT46" s="1647">
        <f t="shared" si="36"/>
        <v>0.09</v>
      </c>
      <c r="AU46" s="1215">
        <v>0</v>
      </c>
      <c r="AV46" s="624">
        <v>0</v>
      </c>
      <c r="AW46" s="665" t="s">
        <v>1692</v>
      </c>
      <c r="AX46" s="665"/>
      <c r="AY46" s="1694">
        <f t="shared" si="39"/>
        <v>0</v>
      </c>
      <c r="AZ46" s="1699">
        <f t="shared" si="30"/>
        <v>0</v>
      </c>
      <c r="BA46" s="1708">
        <v>9</v>
      </c>
      <c r="BB46" s="1715" t="s">
        <v>1090</v>
      </c>
      <c r="BC46" s="1715">
        <v>1</v>
      </c>
      <c r="BD46" s="1699">
        <v>0</v>
      </c>
      <c r="BE46" s="1745">
        <v>0</v>
      </c>
      <c r="BF46" s="1692"/>
      <c r="BG46" s="1703" t="s">
        <v>1669</v>
      </c>
      <c r="BH46" s="1702"/>
      <c r="BI46" s="2084">
        <v>0</v>
      </c>
      <c r="BJ46" s="2183">
        <f t="shared" si="33"/>
        <v>0</v>
      </c>
      <c r="BK46" s="2177">
        <v>0.09</v>
      </c>
      <c r="BL46" s="2183" t="s">
        <v>1090</v>
      </c>
      <c r="BM46" s="2085">
        <v>0</v>
      </c>
      <c r="BN46" s="2085">
        <v>0</v>
      </c>
      <c r="BO46" s="2307">
        <v>0</v>
      </c>
      <c r="BP46" s="2084" t="s">
        <v>1090</v>
      </c>
      <c r="BQ46" s="2178"/>
      <c r="BR46" s="1988"/>
      <c r="BS46" s="2373">
        <f t="shared" si="37"/>
        <v>1</v>
      </c>
      <c r="BT46" s="2379">
        <f t="shared" si="34"/>
        <v>1</v>
      </c>
      <c r="BU46" s="2384">
        <v>0.09</v>
      </c>
      <c r="BV46" s="2379">
        <f>BU46/BS46</f>
        <v>0.09</v>
      </c>
      <c r="BW46" s="2373">
        <v>0.09</v>
      </c>
      <c r="BX46" s="2373">
        <f>BU46/Y46</f>
        <v>0.09</v>
      </c>
      <c r="BY46" s="2380"/>
      <c r="BZ46" s="2339"/>
      <c r="CA46" s="2381" t="s">
        <v>2892</v>
      </c>
      <c r="CB46" s="2376" t="s">
        <v>1770</v>
      </c>
    </row>
    <row r="47" spans="1:80" s="49" customFormat="1" ht="138.75" customHeight="1" thickBot="1">
      <c r="A47" s="2689"/>
      <c r="B47" s="2721"/>
      <c r="C47" s="2657"/>
      <c r="D47" s="250" t="s">
        <v>1258</v>
      </c>
      <c r="E47" s="65" t="s">
        <v>1259</v>
      </c>
      <c r="F47" s="65">
        <v>100</v>
      </c>
      <c r="G47" s="65" t="s">
        <v>1260</v>
      </c>
      <c r="H47" s="65" t="s">
        <v>1257</v>
      </c>
      <c r="I47" s="65">
        <v>7</v>
      </c>
      <c r="J47" s="65" t="s">
        <v>1533</v>
      </c>
      <c r="K47" s="117">
        <v>42019</v>
      </c>
      <c r="L47" s="117">
        <v>42353</v>
      </c>
      <c r="M47" s="125"/>
      <c r="N47" s="125"/>
      <c r="O47" s="125"/>
      <c r="P47" s="125"/>
      <c r="Q47" s="125"/>
      <c r="R47" s="126"/>
      <c r="S47" s="126"/>
      <c r="T47" s="125"/>
      <c r="U47" s="126"/>
      <c r="V47" s="126"/>
      <c r="W47" s="126"/>
      <c r="X47" s="128">
        <v>1</v>
      </c>
      <c r="Y47" s="538">
        <f t="shared" si="25"/>
        <v>1</v>
      </c>
      <c r="Z47" s="75">
        <v>0</v>
      </c>
      <c r="AA47" s="673"/>
      <c r="AB47" s="1229">
        <v>0.05</v>
      </c>
      <c r="AC47" s="1229">
        <v>0.04</v>
      </c>
      <c r="AD47" s="674"/>
      <c r="AE47" s="674"/>
      <c r="AF47" s="675"/>
      <c r="AG47" s="676"/>
      <c r="AH47" s="682"/>
      <c r="AI47" s="678"/>
      <c r="AJ47" s="679"/>
      <c r="AK47" s="679"/>
      <c r="AL47" s="680"/>
      <c r="AM47" s="683"/>
      <c r="AN47" s="645">
        <f t="shared" si="26"/>
        <v>0</v>
      </c>
      <c r="AO47" s="645">
        <f t="shared" si="27"/>
        <v>0</v>
      </c>
      <c r="AP47" s="1218">
        <f t="shared" si="28"/>
        <v>0.09</v>
      </c>
      <c r="AQ47" s="645" t="s">
        <v>1090</v>
      </c>
      <c r="AR47" s="622">
        <f t="shared" si="38"/>
        <v>0.09</v>
      </c>
      <c r="AS47" s="1647" t="str">
        <f t="shared" si="29"/>
        <v>-</v>
      </c>
      <c r="AT47" s="1647">
        <f t="shared" si="36"/>
        <v>0.09</v>
      </c>
      <c r="AU47" s="1215">
        <v>0</v>
      </c>
      <c r="AV47" s="624">
        <v>0</v>
      </c>
      <c r="AW47" s="1233" t="s">
        <v>1693</v>
      </c>
      <c r="AX47" s="665"/>
      <c r="AY47" s="1694">
        <f t="shared" si="39"/>
        <v>0</v>
      </c>
      <c r="AZ47" s="1699">
        <f t="shared" si="30"/>
        <v>0</v>
      </c>
      <c r="BA47" s="1708">
        <v>84</v>
      </c>
      <c r="BB47" s="1715" t="s">
        <v>1090</v>
      </c>
      <c r="BC47" s="1715" t="s">
        <v>1090</v>
      </c>
      <c r="BD47" s="1699">
        <v>0</v>
      </c>
      <c r="BE47" s="1745">
        <v>0</v>
      </c>
      <c r="BF47" s="1692"/>
      <c r="BG47" s="1702" t="s">
        <v>2043</v>
      </c>
      <c r="BH47" s="1703" t="s">
        <v>1669</v>
      </c>
      <c r="BI47" s="2084">
        <v>0</v>
      </c>
      <c r="BJ47" s="2183">
        <f t="shared" si="33"/>
        <v>0</v>
      </c>
      <c r="BK47" s="2177">
        <v>0.9199999999999999</v>
      </c>
      <c r="BL47" s="2183" t="s">
        <v>1090</v>
      </c>
      <c r="BM47" s="2085">
        <v>0.92</v>
      </c>
      <c r="BN47" s="2085">
        <v>0.92</v>
      </c>
      <c r="BO47" s="2307">
        <v>0</v>
      </c>
      <c r="BP47" s="2084" t="s">
        <v>1090</v>
      </c>
      <c r="BQ47" s="2178" t="s">
        <v>2643</v>
      </c>
      <c r="BR47" s="1988"/>
      <c r="BS47" s="2373">
        <f t="shared" si="37"/>
        <v>0</v>
      </c>
      <c r="BT47" s="2379">
        <f t="shared" si="34"/>
        <v>0</v>
      </c>
      <c r="BU47" s="2384">
        <v>1</v>
      </c>
      <c r="BV47" s="2379" t="s">
        <v>1090</v>
      </c>
      <c r="BW47" s="2373">
        <v>1</v>
      </c>
      <c r="BX47" s="2373">
        <v>1</v>
      </c>
      <c r="BY47" s="2380"/>
      <c r="BZ47" s="2339"/>
      <c r="CA47" s="2381" t="s">
        <v>2893</v>
      </c>
      <c r="CB47" s="2376" t="s">
        <v>1770</v>
      </c>
    </row>
    <row r="48" spans="1:80" s="49" customFormat="1" ht="60.75" thickBot="1">
      <c r="A48" s="2689"/>
      <c r="B48" s="2721"/>
      <c r="C48" s="2657"/>
      <c r="D48" s="250" t="s">
        <v>1694</v>
      </c>
      <c r="E48" s="65" t="s">
        <v>1695</v>
      </c>
      <c r="F48" s="65" t="s">
        <v>100</v>
      </c>
      <c r="G48" s="65" t="s">
        <v>1784</v>
      </c>
      <c r="H48" s="65" t="s">
        <v>1257</v>
      </c>
      <c r="I48" s="65">
        <v>7</v>
      </c>
      <c r="J48" s="65" t="s">
        <v>1534</v>
      </c>
      <c r="K48" s="117">
        <v>42019</v>
      </c>
      <c r="L48" s="117">
        <v>42353</v>
      </c>
      <c r="M48" s="1276"/>
      <c r="N48" s="1276">
        <v>1</v>
      </c>
      <c r="O48" s="1276"/>
      <c r="P48" s="1276">
        <v>1</v>
      </c>
      <c r="Q48" s="1276"/>
      <c r="R48" s="1276">
        <v>1</v>
      </c>
      <c r="S48" s="1276"/>
      <c r="T48" s="1276">
        <v>1</v>
      </c>
      <c r="U48" s="1276"/>
      <c r="V48" s="1276">
        <v>1</v>
      </c>
      <c r="W48" s="1276"/>
      <c r="X48" s="1276">
        <v>1</v>
      </c>
      <c r="Y48" s="538">
        <f>AVERAGE(M48:X48)</f>
        <v>1</v>
      </c>
      <c r="Z48" s="75">
        <v>0</v>
      </c>
      <c r="AA48" s="673"/>
      <c r="AB48" s="2695">
        <f>+(0.714285714285714)</f>
        <v>0.714285714285714</v>
      </c>
      <c r="AC48" s="2729"/>
      <c r="AD48" s="2729"/>
      <c r="AE48" s="2729"/>
      <c r="AF48" s="2729"/>
      <c r="AG48" s="2729"/>
      <c r="AH48" s="2729"/>
      <c r="AI48" s="2729"/>
      <c r="AJ48" s="2729"/>
      <c r="AK48" s="2729"/>
      <c r="AL48" s="2729"/>
      <c r="AM48" s="2730"/>
      <c r="AN48" s="645">
        <f t="shared" si="26"/>
        <v>1</v>
      </c>
      <c r="AO48" s="645">
        <f t="shared" si="27"/>
        <v>1</v>
      </c>
      <c r="AP48" s="1218">
        <f t="shared" si="28"/>
        <v>0.714285714285714</v>
      </c>
      <c r="AQ48" s="645">
        <f t="shared" si="35"/>
        <v>0.714285714285714</v>
      </c>
      <c r="AR48" s="622">
        <f t="shared" si="38"/>
        <v>0.714285714285714</v>
      </c>
      <c r="AS48" s="1647">
        <f t="shared" si="29"/>
        <v>0.714285714285714</v>
      </c>
      <c r="AT48" s="1647">
        <f t="shared" si="36"/>
        <v>0.714285714285714</v>
      </c>
      <c r="AU48" s="1215">
        <v>0</v>
      </c>
      <c r="AV48" s="624">
        <v>0</v>
      </c>
      <c r="AW48" s="1234" t="s">
        <v>1696</v>
      </c>
      <c r="AX48" s="665"/>
      <c r="AY48" s="1699">
        <v>1</v>
      </c>
      <c r="AZ48" s="1699">
        <f t="shared" si="30"/>
        <v>1</v>
      </c>
      <c r="BA48" s="1709">
        <v>1</v>
      </c>
      <c r="BB48" s="1715">
        <f t="shared" si="31"/>
        <v>1</v>
      </c>
      <c r="BC48" s="1715">
        <f aca="true" t="shared" si="40" ref="BC48:BC56">BA48/Y48</f>
        <v>1</v>
      </c>
      <c r="BD48" s="1699">
        <f t="shared" si="32"/>
        <v>1</v>
      </c>
      <c r="BE48" s="1745">
        <v>0</v>
      </c>
      <c r="BF48" s="1692"/>
      <c r="BG48" s="1702" t="s">
        <v>2044</v>
      </c>
      <c r="BH48" s="1703" t="s">
        <v>1669</v>
      </c>
      <c r="BI48" s="2084">
        <v>1</v>
      </c>
      <c r="BJ48" s="2183">
        <f t="shared" si="33"/>
        <v>1</v>
      </c>
      <c r="BK48" s="2177">
        <v>1</v>
      </c>
      <c r="BL48" s="2183">
        <v>1</v>
      </c>
      <c r="BM48" s="2085">
        <v>0.5</v>
      </c>
      <c r="BN48" s="2085">
        <v>0.5</v>
      </c>
      <c r="BO48" s="2307">
        <v>0</v>
      </c>
      <c r="BP48" s="2084" t="s">
        <v>1090</v>
      </c>
      <c r="BQ48" s="2178" t="s">
        <v>2644</v>
      </c>
      <c r="BR48" s="1988"/>
      <c r="BS48" s="2373">
        <v>1</v>
      </c>
      <c r="BT48" s="2379">
        <f t="shared" si="34"/>
        <v>1</v>
      </c>
      <c r="BU48" s="2384">
        <v>1</v>
      </c>
      <c r="BV48" s="2379">
        <v>1</v>
      </c>
      <c r="BW48" s="2373">
        <v>1</v>
      </c>
      <c r="BX48" s="2373">
        <v>1</v>
      </c>
      <c r="BY48" s="2380"/>
      <c r="BZ48" s="2339"/>
      <c r="CA48" s="2381" t="s">
        <v>2894</v>
      </c>
      <c r="CB48" s="2376" t="s">
        <v>1770</v>
      </c>
    </row>
    <row r="49" spans="1:80" s="49" customFormat="1" ht="66.75" thickBot="1">
      <c r="A49" s="2689"/>
      <c r="B49" s="2721"/>
      <c r="C49" s="2657"/>
      <c r="D49" s="250" t="s">
        <v>1262</v>
      </c>
      <c r="E49" s="65" t="s">
        <v>1263</v>
      </c>
      <c r="F49" s="65">
        <v>10</v>
      </c>
      <c r="G49" s="65" t="s">
        <v>1231</v>
      </c>
      <c r="H49" s="65" t="s">
        <v>1257</v>
      </c>
      <c r="I49" s="65">
        <v>7</v>
      </c>
      <c r="J49" s="65" t="s">
        <v>1532</v>
      </c>
      <c r="K49" s="117">
        <v>42019</v>
      </c>
      <c r="L49" s="117">
        <v>42353</v>
      </c>
      <c r="M49" s="125"/>
      <c r="N49" s="125"/>
      <c r="O49" s="125">
        <v>1</v>
      </c>
      <c r="P49" s="125">
        <v>1</v>
      </c>
      <c r="Q49" s="125">
        <v>1</v>
      </c>
      <c r="R49" s="126">
        <v>1</v>
      </c>
      <c r="S49" s="126">
        <v>1</v>
      </c>
      <c r="T49" s="125">
        <v>1</v>
      </c>
      <c r="U49" s="126">
        <v>1</v>
      </c>
      <c r="V49" s="126">
        <v>1</v>
      </c>
      <c r="W49" s="126">
        <v>1</v>
      </c>
      <c r="X49" s="126">
        <v>1</v>
      </c>
      <c r="Y49" s="506">
        <f t="shared" si="25"/>
        <v>10</v>
      </c>
      <c r="Z49" s="75">
        <v>0</v>
      </c>
      <c r="AA49" s="673"/>
      <c r="AB49" s="1235">
        <v>0</v>
      </c>
      <c r="AC49" s="1235">
        <v>1</v>
      </c>
      <c r="AD49" s="674"/>
      <c r="AE49" s="674"/>
      <c r="AF49" s="675"/>
      <c r="AG49" s="676"/>
      <c r="AH49" s="682"/>
      <c r="AI49" s="678"/>
      <c r="AJ49" s="679"/>
      <c r="AK49" s="679"/>
      <c r="AL49" s="680"/>
      <c r="AM49" s="680"/>
      <c r="AN49" s="634">
        <f t="shared" si="26"/>
        <v>0</v>
      </c>
      <c r="AO49" s="645">
        <f t="shared" si="27"/>
        <v>0</v>
      </c>
      <c r="AP49" s="621">
        <f t="shared" si="28"/>
        <v>1</v>
      </c>
      <c r="AQ49" s="645" t="s">
        <v>1090</v>
      </c>
      <c r="AR49" s="622">
        <f t="shared" si="38"/>
        <v>0.1</v>
      </c>
      <c r="AS49" s="1647" t="str">
        <f t="shared" si="29"/>
        <v>-</v>
      </c>
      <c r="AT49" s="1647">
        <f t="shared" si="36"/>
        <v>0.1</v>
      </c>
      <c r="AU49" s="1215">
        <v>0</v>
      </c>
      <c r="AV49" s="624">
        <v>0</v>
      </c>
      <c r="AW49" s="1234" t="s">
        <v>1697</v>
      </c>
      <c r="AX49" s="665"/>
      <c r="AY49" s="1697">
        <f t="shared" si="39"/>
        <v>2</v>
      </c>
      <c r="AZ49" s="1699">
        <f t="shared" si="30"/>
        <v>1</v>
      </c>
      <c r="BA49" s="1708">
        <v>3</v>
      </c>
      <c r="BB49" s="1715">
        <v>1</v>
      </c>
      <c r="BC49" s="1715">
        <f t="shared" si="40"/>
        <v>0.3</v>
      </c>
      <c r="BD49" s="1699">
        <f t="shared" si="32"/>
        <v>1</v>
      </c>
      <c r="BE49" s="1745">
        <v>0</v>
      </c>
      <c r="BF49" s="1692"/>
      <c r="BG49" s="1702" t="s">
        <v>2045</v>
      </c>
      <c r="BH49" s="1703" t="s">
        <v>1669</v>
      </c>
      <c r="BI49" s="2084">
        <v>4</v>
      </c>
      <c r="BJ49" s="2183">
        <f t="shared" si="33"/>
        <v>1</v>
      </c>
      <c r="BK49" s="2176">
        <v>5</v>
      </c>
      <c r="BL49" s="2183">
        <v>1</v>
      </c>
      <c r="BM49" s="2085">
        <v>0.5</v>
      </c>
      <c r="BN49" s="2085">
        <v>0.5</v>
      </c>
      <c r="BO49" s="2307">
        <v>0</v>
      </c>
      <c r="BP49" s="2084" t="s">
        <v>1090</v>
      </c>
      <c r="BQ49" s="2178" t="s">
        <v>2645</v>
      </c>
      <c r="BR49" s="1988"/>
      <c r="BS49" s="2440">
        <f t="shared" si="37"/>
        <v>6</v>
      </c>
      <c r="BT49" s="2379">
        <f t="shared" si="34"/>
        <v>1</v>
      </c>
      <c r="BU49" s="2383">
        <v>7</v>
      </c>
      <c r="BV49" s="2379">
        <v>1</v>
      </c>
      <c r="BW49" s="2373">
        <v>0.7</v>
      </c>
      <c r="BX49" s="2373">
        <f>BU49/Y49</f>
        <v>0.7</v>
      </c>
      <c r="BY49" s="2380"/>
      <c r="BZ49" s="2339"/>
      <c r="CA49" s="2381" t="s">
        <v>2895</v>
      </c>
      <c r="CB49" s="2376" t="s">
        <v>1770</v>
      </c>
    </row>
    <row r="50" spans="1:80" s="49" customFormat="1" ht="84.75" thickBot="1">
      <c r="A50" s="2689"/>
      <c r="B50" s="2721"/>
      <c r="C50" s="2657"/>
      <c r="D50" s="250" t="s">
        <v>1264</v>
      </c>
      <c r="E50" s="65" t="s">
        <v>1266</v>
      </c>
      <c r="F50" s="65">
        <v>12</v>
      </c>
      <c r="G50" s="65" t="s">
        <v>1265</v>
      </c>
      <c r="H50" s="65" t="s">
        <v>1253</v>
      </c>
      <c r="I50" s="65">
        <v>7</v>
      </c>
      <c r="J50" s="65" t="s">
        <v>1532</v>
      </c>
      <c r="K50" s="117">
        <v>42019</v>
      </c>
      <c r="L50" s="117">
        <v>42368</v>
      </c>
      <c r="M50" s="125">
        <v>1</v>
      </c>
      <c r="N50" s="125">
        <v>1</v>
      </c>
      <c r="O50" s="125">
        <v>1</v>
      </c>
      <c r="P50" s="125">
        <v>1</v>
      </c>
      <c r="Q50" s="125">
        <v>1</v>
      </c>
      <c r="R50" s="126">
        <v>1</v>
      </c>
      <c r="S50" s="126">
        <v>1</v>
      </c>
      <c r="T50" s="125">
        <v>1</v>
      </c>
      <c r="U50" s="126">
        <v>1</v>
      </c>
      <c r="V50" s="126">
        <v>1</v>
      </c>
      <c r="W50" s="126">
        <v>1</v>
      </c>
      <c r="X50" s="126">
        <v>1</v>
      </c>
      <c r="Y50" s="506">
        <f t="shared" si="25"/>
        <v>12</v>
      </c>
      <c r="Z50" s="75">
        <v>0</v>
      </c>
      <c r="AA50" s="673"/>
      <c r="AB50" s="1235">
        <v>1</v>
      </c>
      <c r="AC50" s="1235">
        <v>0</v>
      </c>
      <c r="AD50" s="674"/>
      <c r="AE50" s="674"/>
      <c r="AF50" s="675"/>
      <c r="AG50" s="676"/>
      <c r="AH50" s="682"/>
      <c r="AI50" s="678"/>
      <c r="AJ50" s="679"/>
      <c r="AK50" s="679"/>
      <c r="AL50" s="680"/>
      <c r="AM50" s="680"/>
      <c r="AN50" s="634">
        <f t="shared" si="26"/>
        <v>2</v>
      </c>
      <c r="AO50" s="645">
        <f t="shared" si="27"/>
        <v>1</v>
      </c>
      <c r="AP50" s="621">
        <f t="shared" si="28"/>
        <v>1</v>
      </c>
      <c r="AQ50" s="645">
        <f t="shared" si="35"/>
        <v>0.5</v>
      </c>
      <c r="AR50" s="622">
        <f t="shared" si="38"/>
        <v>0.08333333333333333</v>
      </c>
      <c r="AS50" s="1647">
        <f t="shared" si="29"/>
        <v>0.5</v>
      </c>
      <c r="AT50" s="1647">
        <f t="shared" si="36"/>
        <v>0.08333333333333333</v>
      </c>
      <c r="AU50" s="1215">
        <v>0</v>
      </c>
      <c r="AV50" s="624">
        <v>0</v>
      </c>
      <c r="AW50" s="665" t="s">
        <v>1698</v>
      </c>
      <c r="AX50" s="665"/>
      <c r="AY50" s="1697">
        <f t="shared" si="39"/>
        <v>4</v>
      </c>
      <c r="AZ50" s="1699">
        <f t="shared" si="30"/>
        <v>1</v>
      </c>
      <c r="BA50" s="1708">
        <v>4</v>
      </c>
      <c r="BB50" s="1715">
        <v>1</v>
      </c>
      <c r="BC50" s="1715">
        <f t="shared" si="40"/>
        <v>0.3333333333333333</v>
      </c>
      <c r="BD50" s="1699">
        <f t="shared" si="32"/>
        <v>1</v>
      </c>
      <c r="BE50" s="1745">
        <v>0</v>
      </c>
      <c r="BF50" s="1692"/>
      <c r="BG50" s="1702" t="s">
        <v>2046</v>
      </c>
      <c r="BH50" s="1702" t="s">
        <v>2047</v>
      </c>
      <c r="BI50" s="2084">
        <v>6</v>
      </c>
      <c r="BJ50" s="2183">
        <f t="shared" si="33"/>
        <v>1</v>
      </c>
      <c r="BK50" s="2176">
        <v>4</v>
      </c>
      <c r="BL50" s="2183">
        <v>1</v>
      </c>
      <c r="BM50" s="2085">
        <v>0.33</v>
      </c>
      <c r="BN50" s="2085">
        <v>0.33</v>
      </c>
      <c r="BO50" s="2307">
        <v>0</v>
      </c>
      <c r="BP50" s="2084" t="s">
        <v>1090</v>
      </c>
      <c r="BQ50" s="2178" t="s">
        <v>2646</v>
      </c>
      <c r="BR50" s="1988"/>
      <c r="BS50" s="2440">
        <f t="shared" si="37"/>
        <v>8</v>
      </c>
      <c r="BT50" s="2379">
        <f t="shared" si="34"/>
        <v>1</v>
      </c>
      <c r="BU50" s="2383">
        <v>4</v>
      </c>
      <c r="BV50" s="2379">
        <f>BU50/BS50</f>
        <v>0.5</v>
      </c>
      <c r="BW50" s="2373">
        <v>0.3333333333333333</v>
      </c>
      <c r="BX50" s="2373">
        <f>BU50/Y50</f>
        <v>0.3333333333333333</v>
      </c>
      <c r="BY50" s="2380"/>
      <c r="BZ50" s="2339"/>
      <c r="CA50" s="2381" t="s">
        <v>2896</v>
      </c>
      <c r="CB50" s="2376" t="s">
        <v>2897</v>
      </c>
    </row>
    <row r="51" spans="1:80" s="49" customFormat="1" ht="116.25" customHeight="1" thickBot="1">
      <c r="A51" s="2689"/>
      <c r="B51" s="2721"/>
      <c r="C51" s="2657"/>
      <c r="D51" s="612" t="s">
        <v>1267</v>
      </c>
      <c r="E51" s="65" t="s">
        <v>1535</v>
      </c>
      <c r="F51" s="65" t="s">
        <v>100</v>
      </c>
      <c r="G51" s="65" t="s">
        <v>1268</v>
      </c>
      <c r="H51" s="65" t="s">
        <v>1269</v>
      </c>
      <c r="I51" s="65">
        <v>7</v>
      </c>
      <c r="J51" s="65" t="s">
        <v>1536</v>
      </c>
      <c r="K51" s="67">
        <v>42019</v>
      </c>
      <c r="L51" s="67">
        <v>42368</v>
      </c>
      <c r="M51" s="1276"/>
      <c r="N51" s="1276">
        <v>1</v>
      </c>
      <c r="O51" s="1276"/>
      <c r="P51" s="1276">
        <v>1</v>
      </c>
      <c r="Q51" s="1276"/>
      <c r="R51" s="1276">
        <v>1</v>
      </c>
      <c r="S51" s="1276"/>
      <c r="T51" s="1276">
        <v>1</v>
      </c>
      <c r="U51" s="1276"/>
      <c r="V51" s="1276">
        <v>1</v>
      </c>
      <c r="W51" s="1276"/>
      <c r="X51" s="1276">
        <v>1</v>
      </c>
      <c r="Y51" s="538">
        <f>AVERAGE(M51:X51)</f>
        <v>1</v>
      </c>
      <c r="Z51" s="75">
        <v>0</v>
      </c>
      <c r="AA51" s="97"/>
      <c r="AB51" s="2698">
        <v>0.3</v>
      </c>
      <c r="AC51" s="2699"/>
      <c r="AD51" s="2699"/>
      <c r="AE51" s="2699"/>
      <c r="AF51" s="2699"/>
      <c r="AG51" s="2699"/>
      <c r="AH51" s="2699"/>
      <c r="AI51" s="2699"/>
      <c r="AJ51" s="2699"/>
      <c r="AK51" s="2699"/>
      <c r="AL51" s="2699"/>
      <c r="AM51" s="2700"/>
      <c r="AN51" s="645">
        <f t="shared" si="26"/>
        <v>1</v>
      </c>
      <c r="AO51" s="645">
        <f t="shared" si="27"/>
        <v>1</v>
      </c>
      <c r="AP51" s="1218">
        <f t="shared" si="28"/>
        <v>0.3</v>
      </c>
      <c r="AQ51" s="645">
        <f t="shared" si="35"/>
        <v>0.3</v>
      </c>
      <c r="AR51" s="622">
        <f t="shared" si="38"/>
        <v>0.3</v>
      </c>
      <c r="AS51" s="1647">
        <f t="shared" si="29"/>
        <v>0.3</v>
      </c>
      <c r="AT51" s="1647">
        <f t="shared" si="36"/>
        <v>0.3</v>
      </c>
      <c r="AU51" s="1215">
        <v>0</v>
      </c>
      <c r="AV51" s="624">
        <v>0</v>
      </c>
      <c r="AW51" s="665" t="s">
        <v>1699</v>
      </c>
      <c r="AX51" s="665"/>
      <c r="AY51" s="1699">
        <v>1</v>
      </c>
      <c r="AZ51" s="1699">
        <f t="shared" si="30"/>
        <v>1</v>
      </c>
      <c r="BA51" s="1709">
        <v>1</v>
      </c>
      <c r="BB51" s="1715">
        <v>1</v>
      </c>
      <c r="BC51" s="1715">
        <f t="shared" si="40"/>
        <v>1</v>
      </c>
      <c r="BD51" s="1699">
        <f t="shared" si="32"/>
        <v>1</v>
      </c>
      <c r="BE51" s="1745">
        <v>0</v>
      </c>
      <c r="BF51" s="1692"/>
      <c r="BG51" s="1702" t="s">
        <v>2048</v>
      </c>
      <c r="BH51" s="1703" t="s">
        <v>1669</v>
      </c>
      <c r="BI51" s="2084">
        <v>1</v>
      </c>
      <c r="BJ51" s="2183">
        <f t="shared" si="33"/>
        <v>1</v>
      </c>
      <c r="BK51" s="2177">
        <v>1</v>
      </c>
      <c r="BL51" s="2183">
        <v>1</v>
      </c>
      <c r="BM51" s="2085">
        <v>0.5</v>
      </c>
      <c r="BN51" s="2085">
        <v>0.5</v>
      </c>
      <c r="BO51" s="2307">
        <v>0</v>
      </c>
      <c r="BP51" s="2084" t="s">
        <v>1090</v>
      </c>
      <c r="BQ51" s="2178" t="s">
        <v>2647</v>
      </c>
      <c r="BR51" s="1988"/>
      <c r="BS51" s="2373">
        <v>1</v>
      </c>
      <c r="BT51" s="2379">
        <f t="shared" si="34"/>
        <v>1</v>
      </c>
      <c r="BU51" s="2384">
        <v>0.8839285714285714</v>
      </c>
      <c r="BV51" s="2379">
        <v>0.88</v>
      </c>
      <c r="BW51" s="2373">
        <v>0.88</v>
      </c>
      <c r="BX51" s="2373">
        <f>BV51/Y51</f>
        <v>0.88</v>
      </c>
      <c r="BY51" s="2380"/>
      <c r="BZ51" s="2339"/>
      <c r="CA51" s="2381" t="s">
        <v>2898</v>
      </c>
      <c r="CB51" s="2376" t="s">
        <v>1770</v>
      </c>
    </row>
    <row r="52" spans="1:80" s="49" customFormat="1" ht="270" customHeight="1" thickBot="1">
      <c r="A52" s="2689"/>
      <c r="B52" s="2721"/>
      <c r="C52" s="2664"/>
      <c r="D52" s="612" t="s">
        <v>1537</v>
      </c>
      <c r="E52" s="65" t="s">
        <v>1319</v>
      </c>
      <c r="F52" s="65" t="s">
        <v>100</v>
      </c>
      <c r="G52" s="65" t="s">
        <v>1270</v>
      </c>
      <c r="H52" s="65" t="s">
        <v>1269</v>
      </c>
      <c r="I52" s="65">
        <v>7</v>
      </c>
      <c r="J52" s="65" t="s">
        <v>1534</v>
      </c>
      <c r="K52" s="67">
        <v>42019</v>
      </c>
      <c r="L52" s="67">
        <v>42368</v>
      </c>
      <c r="M52" s="1276"/>
      <c r="N52" s="1276">
        <v>1</v>
      </c>
      <c r="O52" s="1276"/>
      <c r="P52" s="1276">
        <v>1</v>
      </c>
      <c r="Q52" s="1276"/>
      <c r="R52" s="1276">
        <v>1</v>
      </c>
      <c r="S52" s="1276"/>
      <c r="T52" s="1276">
        <v>1</v>
      </c>
      <c r="U52" s="1276"/>
      <c r="V52" s="1276">
        <v>1</v>
      </c>
      <c r="W52" s="1276"/>
      <c r="X52" s="1276">
        <v>1</v>
      </c>
      <c r="Y52" s="538">
        <f>AVERAGE(M52:X52)</f>
        <v>1</v>
      </c>
      <c r="Z52" s="75">
        <v>0</v>
      </c>
      <c r="AA52" s="290"/>
      <c r="AB52" s="2698">
        <f>+(39/39)</f>
        <v>1</v>
      </c>
      <c r="AC52" s="2699"/>
      <c r="AD52" s="2699"/>
      <c r="AE52" s="2699"/>
      <c r="AF52" s="2699"/>
      <c r="AG52" s="2699"/>
      <c r="AH52" s="2699"/>
      <c r="AI52" s="2699"/>
      <c r="AJ52" s="2699"/>
      <c r="AK52" s="2699"/>
      <c r="AL52" s="2699"/>
      <c r="AM52" s="2700"/>
      <c r="AN52" s="645">
        <f t="shared" si="26"/>
        <v>1</v>
      </c>
      <c r="AO52" s="645">
        <f t="shared" si="27"/>
        <v>1</v>
      </c>
      <c r="AP52" s="632">
        <f t="shared" si="28"/>
        <v>1</v>
      </c>
      <c r="AQ52" s="645">
        <f t="shared" si="35"/>
        <v>1</v>
      </c>
      <c r="AR52" s="622">
        <f t="shared" si="38"/>
        <v>1</v>
      </c>
      <c r="AS52" s="1647">
        <f t="shared" si="29"/>
        <v>1</v>
      </c>
      <c r="AT52" s="1647">
        <f t="shared" si="36"/>
        <v>1</v>
      </c>
      <c r="AU52" s="1215">
        <v>0</v>
      </c>
      <c r="AV52" s="624">
        <v>0</v>
      </c>
      <c r="AW52" s="665" t="s">
        <v>1700</v>
      </c>
      <c r="AX52" s="665"/>
      <c r="AY52" s="1699">
        <v>1</v>
      </c>
      <c r="AZ52" s="1699">
        <f t="shared" si="30"/>
        <v>1</v>
      </c>
      <c r="BA52" s="1709">
        <v>1</v>
      </c>
      <c r="BB52" s="1715">
        <v>1</v>
      </c>
      <c r="BC52" s="1715">
        <f t="shared" si="40"/>
        <v>1</v>
      </c>
      <c r="BD52" s="1699">
        <f t="shared" si="32"/>
        <v>1</v>
      </c>
      <c r="BE52" s="1745">
        <v>0</v>
      </c>
      <c r="BF52" s="1692"/>
      <c r="BG52" s="1702" t="s">
        <v>2049</v>
      </c>
      <c r="BH52" s="1703" t="s">
        <v>1669</v>
      </c>
      <c r="BI52" s="2084">
        <v>1</v>
      </c>
      <c r="BJ52" s="2183">
        <f t="shared" si="33"/>
        <v>1</v>
      </c>
      <c r="BK52" s="2177">
        <v>1</v>
      </c>
      <c r="BL52" s="2183">
        <v>1</v>
      </c>
      <c r="BM52" s="2085">
        <v>0.5</v>
      </c>
      <c r="BN52" s="2085">
        <v>0.5</v>
      </c>
      <c r="BO52" s="2307">
        <v>0</v>
      </c>
      <c r="BP52" s="2084" t="s">
        <v>1090</v>
      </c>
      <c r="BQ52" s="2178" t="s">
        <v>2648</v>
      </c>
      <c r="BR52" s="1988"/>
      <c r="BS52" s="2373">
        <v>1</v>
      </c>
      <c r="BT52" s="2379">
        <f t="shared" si="34"/>
        <v>1</v>
      </c>
      <c r="BU52" s="2384">
        <v>1</v>
      </c>
      <c r="BV52" s="2379">
        <v>1</v>
      </c>
      <c r="BW52" s="2373">
        <v>1</v>
      </c>
      <c r="BX52" s="2373">
        <v>1</v>
      </c>
      <c r="BY52" s="2380"/>
      <c r="BZ52" s="2339"/>
      <c r="CA52" s="2381" t="s">
        <v>2899</v>
      </c>
      <c r="CB52" s="2376" t="s">
        <v>1770</v>
      </c>
    </row>
    <row r="53" spans="1:80" s="49" customFormat="1" ht="63.75" customHeight="1" thickBot="1">
      <c r="A53" s="2689"/>
      <c r="B53" s="2721"/>
      <c r="C53" s="2656" t="s">
        <v>1271</v>
      </c>
      <c r="D53" s="1203" t="s">
        <v>1272</v>
      </c>
      <c r="E53" s="65" t="s">
        <v>1273</v>
      </c>
      <c r="F53" s="65">
        <v>3</v>
      </c>
      <c r="G53" s="65" t="s">
        <v>1274</v>
      </c>
      <c r="H53" s="65" t="s">
        <v>1269</v>
      </c>
      <c r="I53" s="65">
        <v>5</v>
      </c>
      <c r="J53" s="65" t="s">
        <v>274</v>
      </c>
      <c r="K53" s="67">
        <v>42019</v>
      </c>
      <c r="L53" s="67">
        <v>42368</v>
      </c>
      <c r="M53" s="280"/>
      <c r="N53" s="280"/>
      <c r="O53" s="280"/>
      <c r="P53" s="280"/>
      <c r="Q53" s="280"/>
      <c r="R53" s="280">
        <v>1</v>
      </c>
      <c r="S53" s="280"/>
      <c r="T53" s="281"/>
      <c r="U53" s="282">
        <v>1</v>
      </c>
      <c r="V53" s="115"/>
      <c r="W53" s="115"/>
      <c r="X53" s="115">
        <v>1</v>
      </c>
      <c r="Y53" s="506">
        <f t="shared" si="25"/>
        <v>3</v>
      </c>
      <c r="Z53" s="75">
        <v>0</v>
      </c>
      <c r="AA53" s="290"/>
      <c r="AB53" s="1236"/>
      <c r="AC53" s="1236"/>
      <c r="AD53" s="684"/>
      <c r="AE53" s="684"/>
      <c r="AF53" s="685"/>
      <c r="AG53" s="685"/>
      <c r="AH53" s="686"/>
      <c r="AI53" s="687"/>
      <c r="AJ53" s="688"/>
      <c r="AK53" s="689"/>
      <c r="AL53" s="690"/>
      <c r="AM53" s="690"/>
      <c r="AN53" s="634">
        <f t="shared" si="26"/>
        <v>0</v>
      </c>
      <c r="AO53" s="645">
        <f t="shared" si="27"/>
        <v>0</v>
      </c>
      <c r="AP53" s="621">
        <f t="shared" si="28"/>
        <v>0</v>
      </c>
      <c r="AQ53" s="645" t="s">
        <v>1090</v>
      </c>
      <c r="AR53" s="622">
        <f t="shared" si="38"/>
        <v>0</v>
      </c>
      <c r="AS53" s="1647" t="str">
        <f t="shared" si="29"/>
        <v>-</v>
      </c>
      <c r="AT53" s="1647">
        <f t="shared" si="36"/>
        <v>0</v>
      </c>
      <c r="AU53" s="1215">
        <v>0</v>
      </c>
      <c r="AV53" s="624">
        <v>0</v>
      </c>
      <c r="AW53" s="665" t="s">
        <v>1701</v>
      </c>
      <c r="AX53" s="665"/>
      <c r="AY53" s="1694">
        <f t="shared" si="39"/>
        <v>0</v>
      </c>
      <c r="AZ53" s="1699">
        <f t="shared" si="30"/>
        <v>0</v>
      </c>
      <c r="BA53" s="1708">
        <v>0</v>
      </c>
      <c r="BB53" s="1709" t="s">
        <v>1090</v>
      </c>
      <c r="BC53" s="1715">
        <f t="shared" si="40"/>
        <v>0</v>
      </c>
      <c r="BD53" s="1699">
        <v>0</v>
      </c>
      <c r="BE53" s="1745">
        <v>0</v>
      </c>
      <c r="BF53" s="1692"/>
      <c r="BG53" s="1702" t="s">
        <v>2050</v>
      </c>
      <c r="BH53" s="1703" t="s">
        <v>1669</v>
      </c>
      <c r="BI53" s="2084">
        <v>1</v>
      </c>
      <c r="BJ53" s="2183">
        <f t="shared" si="33"/>
        <v>1</v>
      </c>
      <c r="BK53" s="2176">
        <v>1</v>
      </c>
      <c r="BL53" s="2183">
        <v>1</v>
      </c>
      <c r="BM53" s="2085">
        <v>0.33</v>
      </c>
      <c r="BN53" s="2085">
        <v>0.33</v>
      </c>
      <c r="BO53" s="2307">
        <v>0</v>
      </c>
      <c r="BP53" s="2084" t="s">
        <v>1090</v>
      </c>
      <c r="BQ53" s="2178" t="s">
        <v>2649</v>
      </c>
      <c r="BR53" s="1988"/>
      <c r="BS53" s="2440">
        <f t="shared" si="37"/>
        <v>1</v>
      </c>
      <c r="BT53" s="2379">
        <f t="shared" si="34"/>
        <v>1</v>
      </c>
      <c r="BU53" s="2383">
        <v>2</v>
      </c>
      <c r="BV53" s="2379">
        <v>1</v>
      </c>
      <c r="BW53" s="2373">
        <v>0.6666666666666666</v>
      </c>
      <c r="BX53" s="2373">
        <f>BU53/Y53</f>
        <v>0.6666666666666666</v>
      </c>
      <c r="BY53" s="2380"/>
      <c r="BZ53" s="2339"/>
      <c r="CA53" s="2381" t="s">
        <v>1669</v>
      </c>
      <c r="CB53" s="2376" t="s">
        <v>1770</v>
      </c>
    </row>
    <row r="54" spans="1:80" s="49" customFormat="1" ht="191.25" customHeight="1" thickBot="1">
      <c r="A54" s="2689"/>
      <c r="B54" s="2721"/>
      <c r="C54" s="2664"/>
      <c r="D54" s="250" t="s">
        <v>1275</v>
      </c>
      <c r="E54" s="65" t="s">
        <v>1101</v>
      </c>
      <c r="F54" s="65">
        <v>100</v>
      </c>
      <c r="G54" s="65" t="s">
        <v>1276</v>
      </c>
      <c r="H54" s="309" t="s">
        <v>1538</v>
      </c>
      <c r="I54" s="65">
        <v>6</v>
      </c>
      <c r="J54" s="65" t="s">
        <v>1539</v>
      </c>
      <c r="K54" s="117">
        <v>42019</v>
      </c>
      <c r="L54" s="117">
        <v>42186</v>
      </c>
      <c r="M54" s="125"/>
      <c r="N54" s="125"/>
      <c r="O54" s="125"/>
      <c r="P54" s="128">
        <v>0.2</v>
      </c>
      <c r="Q54" s="128">
        <v>0.2</v>
      </c>
      <c r="R54" s="128">
        <v>0.3</v>
      </c>
      <c r="S54" s="128">
        <v>0.3</v>
      </c>
      <c r="T54" s="128"/>
      <c r="U54" s="128"/>
      <c r="V54" s="128"/>
      <c r="W54" s="128"/>
      <c r="X54" s="128"/>
      <c r="Y54" s="538">
        <f t="shared" si="25"/>
        <v>1</v>
      </c>
      <c r="Z54" s="75">
        <v>0</v>
      </c>
      <c r="AA54" s="673"/>
      <c r="AB54" s="1237">
        <v>0</v>
      </c>
      <c r="AC54" s="1237">
        <v>0</v>
      </c>
      <c r="AD54" s="674"/>
      <c r="AE54" s="691"/>
      <c r="AF54" s="692"/>
      <c r="AG54" s="692"/>
      <c r="AH54" s="681"/>
      <c r="AI54" s="681"/>
      <c r="AJ54" s="693"/>
      <c r="AK54" s="693"/>
      <c r="AL54" s="683"/>
      <c r="AM54" s="683"/>
      <c r="AN54" s="645">
        <f t="shared" si="26"/>
        <v>0</v>
      </c>
      <c r="AO54" s="645">
        <f t="shared" si="27"/>
        <v>0</v>
      </c>
      <c r="AP54" s="1218">
        <f t="shared" si="28"/>
        <v>0</v>
      </c>
      <c r="AQ54" s="645" t="s">
        <v>1090</v>
      </c>
      <c r="AR54" s="622">
        <f t="shared" si="38"/>
        <v>0</v>
      </c>
      <c r="AS54" s="1647" t="str">
        <f t="shared" si="29"/>
        <v>-</v>
      </c>
      <c r="AT54" s="1647">
        <f t="shared" si="36"/>
        <v>0</v>
      </c>
      <c r="AU54" s="1215">
        <v>0</v>
      </c>
      <c r="AV54" s="624">
        <v>0</v>
      </c>
      <c r="AW54" s="665" t="s">
        <v>1702</v>
      </c>
      <c r="AX54" s="665"/>
      <c r="AY54" s="1699">
        <f t="shared" si="39"/>
        <v>0.2</v>
      </c>
      <c r="AZ54" s="1699">
        <f t="shared" si="30"/>
        <v>1</v>
      </c>
      <c r="BA54" s="1709">
        <v>0.2</v>
      </c>
      <c r="BB54" s="1709">
        <f>BA54/AY54</f>
        <v>1</v>
      </c>
      <c r="BC54" s="1715">
        <f t="shared" si="40"/>
        <v>0.2</v>
      </c>
      <c r="BD54" s="1699">
        <f t="shared" si="32"/>
        <v>1</v>
      </c>
      <c r="BE54" s="1745">
        <v>0</v>
      </c>
      <c r="BF54" s="1692"/>
      <c r="BG54" s="1702" t="s">
        <v>2051</v>
      </c>
      <c r="BH54" s="1703" t="s">
        <v>1669</v>
      </c>
      <c r="BI54" s="2085">
        <v>0.7</v>
      </c>
      <c r="BJ54" s="2183">
        <f t="shared" si="33"/>
        <v>1</v>
      </c>
      <c r="BK54" s="2177">
        <v>0.7</v>
      </c>
      <c r="BL54" s="2183">
        <v>1</v>
      </c>
      <c r="BM54" s="2085">
        <v>0.7</v>
      </c>
      <c r="BN54" s="2085">
        <v>0.7</v>
      </c>
      <c r="BO54" s="2307">
        <v>0</v>
      </c>
      <c r="BP54" s="2084" t="s">
        <v>1090</v>
      </c>
      <c r="BQ54" s="2178" t="s">
        <v>2650</v>
      </c>
      <c r="BR54" s="1988"/>
      <c r="BS54" s="2373">
        <f t="shared" si="37"/>
        <v>1</v>
      </c>
      <c r="BT54" s="2379">
        <f t="shared" si="34"/>
        <v>1</v>
      </c>
      <c r="BU54" s="2384">
        <v>0.9</v>
      </c>
      <c r="BV54" s="2379">
        <v>0.9</v>
      </c>
      <c r="BW54" s="2373">
        <v>0.9</v>
      </c>
      <c r="BX54" s="2373">
        <f>BU54/Y54</f>
        <v>0.9</v>
      </c>
      <c r="BY54" s="2380"/>
      <c r="BZ54" s="2339"/>
      <c r="CA54" s="2381" t="s">
        <v>2900</v>
      </c>
      <c r="CB54" s="2376" t="s">
        <v>1770</v>
      </c>
    </row>
    <row r="55" spans="1:80" s="49" customFormat="1" ht="142.5" customHeight="1" thickBot="1">
      <c r="A55" s="2689"/>
      <c r="B55" s="2721"/>
      <c r="C55" s="2656" t="s">
        <v>1277</v>
      </c>
      <c r="D55" s="250" t="s">
        <v>1703</v>
      </c>
      <c r="E55" s="65" t="s">
        <v>1278</v>
      </c>
      <c r="F55" s="65">
        <v>100</v>
      </c>
      <c r="G55" s="65" t="s">
        <v>1279</v>
      </c>
      <c r="H55" s="65" t="s">
        <v>1280</v>
      </c>
      <c r="I55" s="65">
        <v>6</v>
      </c>
      <c r="J55" s="65" t="s">
        <v>1540</v>
      </c>
      <c r="K55" s="67">
        <v>42019</v>
      </c>
      <c r="L55" s="67">
        <v>42353</v>
      </c>
      <c r="M55" s="57"/>
      <c r="N55" s="565">
        <v>0.1</v>
      </c>
      <c r="O55" s="565">
        <v>0.1</v>
      </c>
      <c r="P55" s="565">
        <v>0.1</v>
      </c>
      <c r="Q55" s="565">
        <v>0.1</v>
      </c>
      <c r="R55" s="565">
        <v>0.1</v>
      </c>
      <c r="S55" s="565">
        <v>0.1</v>
      </c>
      <c r="T55" s="565">
        <v>0.1</v>
      </c>
      <c r="U55" s="565">
        <v>0.1</v>
      </c>
      <c r="V55" s="565">
        <v>0.1</v>
      </c>
      <c r="W55" s="565">
        <v>0.1</v>
      </c>
      <c r="X55" s="565"/>
      <c r="Y55" s="538">
        <f t="shared" si="25"/>
        <v>0.9999999999999999</v>
      </c>
      <c r="Z55" s="75">
        <v>0</v>
      </c>
      <c r="AA55" s="97"/>
      <c r="AB55" s="1238">
        <v>0</v>
      </c>
      <c r="AC55" s="1238">
        <v>0</v>
      </c>
      <c r="AD55" s="694"/>
      <c r="AE55" s="694"/>
      <c r="AF55" s="695"/>
      <c r="AG55" s="695"/>
      <c r="AH55" s="696"/>
      <c r="AI55" s="696"/>
      <c r="AJ55" s="697"/>
      <c r="AK55" s="697"/>
      <c r="AL55" s="698"/>
      <c r="AM55" s="698"/>
      <c r="AN55" s="645">
        <f t="shared" si="26"/>
        <v>0.1</v>
      </c>
      <c r="AO55" s="645">
        <f t="shared" si="27"/>
        <v>1</v>
      </c>
      <c r="AP55" s="1218">
        <f t="shared" si="28"/>
        <v>0</v>
      </c>
      <c r="AQ55" s="645">
        <f t="shared" si="35"/>
        <v>0</v>
      </c>
      <c r="AR55" s="622">
        <f t="shared" si="38"/>
        <v>0</v>
      </c>
      <c r="AS55" s="1647">
        <f t="shared" si="29"/>
        <v>0</v>
      </c>
      <c r="AT55" s="1647">
        <f t="shared" si="36"/>
        <v>0</v>
      </c>
      <c r="AU55" s="1215">
        <v>0</v>
      </c>
      <c r="AV55" s="624">
        <v>0</v>
      </c>
      <c r="AW55" s="665" t="s">
        <v>1704</v>
      </c>
      <c r="AX55" s="665"/>
      <c r="AY55" s="1699">
        <f t="shared" si="39"/>
        <v>0.30000000000000004</v>
      </c>
      <c r="AZ55" s="1699">
        <f t="shared" si="30"/>
        <v>1</v>
      </c>
      <c r="BA55" s="1709">
        <v>0.3</v>
      </c>
      <c r="BB55" s="1709">
        <f>BA55/AY55</f>
        <v>0.9999999999999998</v>
      </c>
      <c r="BC55" s="1715">
        <f t="shared" si="40"/>
        <v>0.30000000000000004</v>
      </c>
      <c r="BD55" s="1699">
        <f t="shared" si="32"/>
        <v>0.9999999999999998</v>
      </c>
      <c r="BE55" s="1745">
        <v>0</v>
      </c>
      <c r="BF55" s="1692"/>
      <c r="BG55" s="1702" t="s">
        <v>2052</v>
      </c>
      <c r="BH55" s="1702" t="s">
        <v>2053</v>
      </c>
      <c r="BI55" s="2085">
        <v>0.5</v>
      </c>
      <c r="BJ55" s="2183">
        <f t="shared" si="33"/>
        <v>1</v>
      </c>
      <c r="BK55" s="2177">
        <v>0.5</v>
      </c>
      <c r="BL55" s="2183">
        <v>1</v>
      </c>
      <c r="BM55" s="2085">
        <v>0.5</v>
      </c>
      <c r="BN55" s="2085">
        <v>0.5</v>
      </c>
      <c r="BO55" s="2307">
        <v>0</v>
      </c>
      <c r="BP55" s="2084" t="s">
        <v>1090</v>
      </c>
      <c r="BQ55" s="2178" t="s">
        <v>2651</v>
      </c>
      <c r="BR55" s="1988"/>
      <c r="BS55" s="2373">
        <f t="shared" si="37"/>
        <v>0.7</v>
      </c>
      <c r="BT55" s="2379">
        <f t="shared" si="34"/>
        <v>1</v>
      </c>
      <c r="BU55" s="2384">
        <v>0.7</v>
      </c>
      <c r="BV55" s="2379">
        <v>1</v>
      </c>
      <c r="BW55" s="2373">
        <v>0.7000000000000001</v>
      </c>
      <c r="BX55" s="2373">
        <f>BU55/Y55</f>
        <v>0.7000000000000001</v>
      </c>
      <c r="BY55" s="2380"/>
      <c r="BZ55" s="2339"/>
      <c r="CA55" s="2381" t="s">
        <v>2901</v>
      </c>
      <c r="CB55" s="2376" t="s">
        <v>1770</v>
      </c>
    </row>
    <row r="56" spans="1:80" s="49" customFormat="1" ht="273.75" customHeight="1" thickBot="1">
      <c r="A56" s="2689"/>
      <c r="B56" s="2721"/>
      <c r="C56" s="2657"/>
      <c r="D56" s="250" t="s">
        <v>1705</v>
      </c>
      <c r="E56" s="262" t="s">
        <v>1228</v>
      </c>
      <c r="F56" s="262">
        <v>2</v>
      </c>
      <c r="G56" s="262" t="s">
        <v>1226</v>
      </c>
      <c r="H56" s="262" t="s">
        <v>1280</v>
      </c>
      <c r="I56" s="262">
        <v>6</v>
      </c>
      <c r="J56" s="262" t="s">
        <v>1541</v>
      </c>
      <c r="K56" s="68">
        <v>42019</v>
      </c>
      <c r="L56" s="68">
        <v>42156</v>
      </c>
      <c r="M56" s="44"/>
      <c r="N56" s="44"/>
      <c r="O56" s="44"/>
      <c r="P56" s="44"/>
      <c r="Q56" s="44"/>
      <c r="R56" s="44"/>
      <c r="S56" s="44"/>
      <c r="T56" s="44"/>
      <c r="U56" s="44"/>
      <c r="V56" s="44">
        <v>1</v>
      </c>
      <c r="W56" s="44"/>
      <c r="X56" s="44">
        <v>1</v>
      </c>
      <c r="Y56" s="506">
        <f t="shared" si="25"/>
        <v>2</v>
      </c>
      <c r="Z56" s="2437">
        <v>200000000</v>
      </c>
      <c r="AA56" s="97"/>
      <c r="AB56" s="1239">
        <v>0</v>
      </c>
      <c r="AC56" s="1239">
        <v>0</v>
      </c>
      <c r="AD56" s="700"/>
      <c r="AE56" s="700"/>
      <c r="AF56" s="701"/>
      <c r="AG56" s="701"/>
      <c r="AH56" s="702"/>
      <c r="AI56" s="702"/>
      <c r="AJ56" s="703"/>
      <c r="AK56" s="703"/>
      <c r="AL56" s="704"/>
      <c r="AM56" s="704"/>
      <c r="AN56" s="634">
        <f t="shared" si="26"/>
        <v>0</v>
      </c>
      <c r="AO56" s="645">
        <f t="shared" si="27"/>
        <v>0</v>
      </c>
      <c r="AP56" s="621">
        <f t="shared" si="28"/>
        <v>0</v>
      </c>
      <c r="AQ56" s="645" t="s">
        <v>1090</v>
      </c>
      <c r="AR56" s="622">
        <f t="shared" si="38"/>
        <v>0</v>
      </c>
      <c r="AS56" s="1647" t="str">
        <f t="shared" si="29"/>
        <v>-</v>
      </c>
      <c r="AT56" s="1647">
        <f t="shared" si="36"/>
        <v>0</v>
      </c>
      <c r="AU56" s="1215">
        <v>0</v>
      </c>
      <c r="AV56" s="624">
        <v>0</v>
      </c>
      <c r="AW56" s="665" t="s">
        <v>1706</v>
      </c>
      <c r="AX56" s="665"/>
      <c r="AY56" s="1694">
        <f t="shared" si="39"/>
        <v>0</v>
      </c>
      <c r="AZ56" s="1699">
        <f t="shared" si="30"/>
        <v>0</v>
      </c>
      <c r="BA56" s="1708">
        <v>0</v>
      </c>
      <c r="BB56" s="1709" t="s">
        <v>1090</v>
      </c>
      <c r="BC56" s="1715">
        <f t="shared" si="40"/>
        <v>0</v>
      </c>
      <c r="BD56" s="1699">
        <v>0</v>
      </c>
      <c r="BE56" s="1745">
        <v>0</v>
      </c>
      <c r="BF56" s="1692"/>
      <c r="BG56" s="1702" t="s">
        <v>2054</v>
      </c>
      <c r="BH56" s="1702" t="s">
        <v>2055</v>
      </c>
      <c r="BI56" s="2084">
        <v>0</v>
      </c>
      <c r="BJ56" s="2183">
        <f t="shared" si="33"/>
        <v>0</v>
      </c>
      <c r="BK56" s="2176">
        <v>0</v>
      </c>
      <c r="BL56" s="2183">
        <v>0</v>
      </c>
      <c r="BM56" s="2085">
        <v>0</v>
      </c>
      <c r="BN56" s="2085">
        <v>0</v>
      </c>
      <c r="BO56" s="2307">
        <v>0</v>
      </c>
      <c r="BP56" s="2084" t="s">
        <v>1090</v>
      </c>
      <c r="BQ56" s="2178" t="s">
        <v>2652</v>
      </c>
      <c r="BR56" s="1988"/>
      <c r="BS56" s="2373">
        <f t="shared" si="37"/>
        <v>0</v>
      </c>
      <c r="BT56" s="2379">
        <f t="shared" si="34"/>
        <v>0</v>
      </c>
      <c r="BU56" s="2383">
        <v>0</v>
      </c>
      <c r="BV56" s="2379" t="s">
        <v>1090</v>
      </c>
      <c r="BW56" s="2373">
        <v>0</v>
      </c>
      <c r="BX56" s="2373">
        <v>0</v>
      </c>
      <c r="BY56" s="2380"/>
      <c r="BZ56" s="2339"/>
      <c r="CA56" s="2381" t="s">
        <v>2902</v>
      </c>
      <c r="CB56" s="2376" t="s">
        <v>1770</v>
      </c>
    </row>
    <row r="57" spans="1:80" s="49" customFormat="1" ht="408.75" customHeight="1" thickBot="1">
      <c r="A57" s="2424"/>
      <c r="B57" s="2721"/>
      <c r="C57" s="2656" t="s">
        <v>2870</v>
      </c>
      <c r="D57" s="129" t="s">
        <v>2867</v>
      </c>
      <c r="E57" s="2434" t="s">
        <v>1436</v>
      </c>
      <c r="F57" s="2434">
        <v>2</v>
      </c>
      <c r="G57" s="2434" t="s">
        <v>1433</v>
      </c>
      <c r="H57" s="2434" t="s">
        <v>2871</v>
      </c>
      <c r="I57" s="2434">
        <v>6</v>
      </c>
      <c r="J57" s="2434"/>
      <c r="K57" s="2435">
        <v>42202</v>
      </c>
      <c r="L57" s="2435">
        <v>42353</v>
      </c>
      <c r="M57" s="2436"/>
      <c r="N57" s="2436"/>
      <c r="O57" s="2436"/>
      <c r="P57" s="2436"/>
      <c r="Q57" s="2436"/>
      <c r="R57" s="2436"/>
      <c r="S57" s="2436"/>
      <c r="T57" s="2436"/>
      <c r="U57" s="2436"/>
      <c r="V57" s="2436">
        <v>1</v>
      </c>
      <c r="W57" s="2436">
        <v>1</v>
      </c>
      <c r="X57" s="2436"/>
      <c r="Y57" s="2428">
        <v>2</v>
      </c>
      <c r="Z57" s="2438">
        <v>161800000</v>
      </c>
      <c r="AA57" s="290"/>
      <c r="AB57" s="2425"/>
      <c r="AC57" s="2425"/>
      <c r="AD57" s="771"/>
      <c r="AE57" s="771"/>
      <c r="AF57" s="773"/>
      <c r="AG57" s="773"/>
      <c r="AH57" s="2429"/>
      <c r="AI57" s="2429"/>
      <c r="AJ57" s="2430"/>
      <c r="AK57" s="2430"/>
      <c r="AL57" s="2431"/>
      <c r="AM57" s="2431"/>
      <c r="AN57" s="634"/>
      <c r="AO57" s="645"/>
      <c r="AP57" s="2432"/>
      <c r="AQ57" s="645"/>
      <c r="AR57" s="2433"/>
      <c r="AS57" s="1647"/>
      <c r="AT57" s="1647"/>
      <c r="AU57" s="1215"/>
      <c r="AV57" s="624"/>
      <c r="AW57" s="665"/>
      <c r="AX57" s="665"/>
      <c r="AY57" s="1694"/>
      <c r="AZ57" s="1699"/>
      <c r="BA57" s="1708"/>
      <c r="BB57" s="1709"/>
      <c r="BC57" s="1715"/>
      <c r="BD57" s="1699"/>
      <c r="BE57" s="1745"/>
      <c r="BF57" s="1692"/>
      <c r="BG57" s="1702"/>
      <c r="BH57" s="1702"/>
      <c r="BI57" s="2084"/>
      <c r="BJ57" s="2183"/>
      <c r="BK57" s="2176"/>
      <c r="BL57" s="2183"/>
      <c r="BM57" s="2085"/>
      <c r="BN57" s="2085"/>
      <c r="BO57" s="2307"/>
      <c r="BP57" s="2084"/>
      <c r="BQ57" s="2178"/>
      <c r="BR57" s="1988"/>
      <c r="BS57" s="2373">
        <f t="shared" si="37"/>
        <v>0</v>
      </c>
      <c r="BT57" s="2379">
        <f t="shared" si="34"/>
        <v>0</v>
      </c>
      <c r="BU57" s="2383">
        <v>1.2000000000000002</v>
      </c>
      <c r="BV57" s="2379" t="s">
        <v>1090</v>
      </c>
      <c r="BW57" s="2373">
        <v>0</v>
      </c>
      <c r="BX57" s="2373">
        <v>0</v>
      </c>
      <c r="BY57" s="2380"/>
      <c r="BZ57" s="2339"/>
      <c r="CA57" s="2381" t="s">
        <v>2903</v>
      </c>
      <c r="CB57" s="2376" t="s">
        <v>2904</v>
      </c>
    </row>
    <row r="58" spans="1:80" s="49" customFormat="1" ht="126.75" customHeight="1" thickBot="1">
      <c r="A58" s="2424"/>
      <c r="B58" s="2721"/>
      <c r="C58" s="2657"/>
      <c r="D58" s="129" t="s">
        <v>2868</v>
      </c>
      <c r="E58" s="2434" t="s">
        <v>2872</v>
      </c>
      <c r="F58" s="2434">
        <v>1</v>
      </c>
      <c r="G58" s="2434" t="s">
        <v>1379</v>
      </c>
      <c r="H58" s="2434" t="s">
        <v>2873</v>
      </c>
      <c r="I58" s="2434">
        <v>5</v>
      </c>
      <c r="J58" s="2434"/>
      <c r="K58" s="2435">
        <v>42202</v>
      </c>
      <c r="L58" s="2435">
        <v>42353</v>
      </c>
      <c r="M58" s="2436"/>
      <c r="N58" s="2436"/>
      <c r="O58" s="2436"/>
      <c r="P58" s="2436"/>
      <c r="Q58" s="2436"/>
      <c r="R58" s="2436"/>
      <c r="S58" s="2436"/>
      <c r="T58" s="2436"/>
      <c r="U58" s="2436">
        <v>1</v>
      </c>
      <c r="V58" s="2436"/>
      <c r="W58" s="2436"/>
      <c r="X58" s="2436"/>
      <c r="Y58" s="2428">
        <v>1</v>
      </c>
      <c r="Z58" s="2438">
        <v>0</v>
      </c>
      <c r="AA58" s="290"/>
      <c r="AB58" s="2425"/>
      <c r="AC58" s="2425"/>
      <c r="AD58" s="771"/>
      <c r="AE58" s="771"/>
      <c r="AF58" s="773"/>
      <c r="AG58" s="773"/>
      <c r="AH58" s="2429"/>
      <c r="AI58" s="2429"/>
      <c r="AJ58" s="2430"/>
      <c r="AK58" s="2430"/>
      <c r="AL58" s="2431"/>
      <c r="AM58" s="2431"/>
      <c r="AN58" s="634"/>
      <c r="AO58" s="645"/>
      <c r="AP58" s="2432"/>
      <c r="AQ58" s="645"/>
      <c r="AR58" s="2433"/>
      <c r="AS58" s="1647"/>
      <c r="AT58" s="1647"/>
      <c r="AU58" s="1215"/>
      <c r="AV58" s="624"/>
      <c r="AW58" s="665"/>
      <c r="AX58" s="665"/>
      <c r="AY58" s="1694"/>
      <c r="AZ58" s="1699"/>
      <c r="BA58" s="1708"/>
      <c r="BB58" s="1709"/>
      <c r="BC58" s="1715"/>
      <c r="BD58" s="1699"/>
      <c r="BE58" s="1745"/>
      <c r="BF58" s="1692"/>
      <c r="BG58" s="1702"/>
      <c r="BH58" s="1702"/>
      <c r="BI58" s="2084"/>
      <c r="BJ58" s="2183"/>
      <c r="BK58" s="2176"/>
      <c r="BL58" s="2183"/>
      <c r="BM58" s="2085"/>
      <c r="BN58" s="2085"/>
      <c r="BO58" s="2307"/>
      <c r="BP58" s="2084"/>
      <c r="BQ58" s="2178"/>
      <c r="BR58" s="1988"/>
      <c r="BS58" s="2373">
        <f t="shared" si="37"/>
        <v>0</v>
      </c>
      <c r="BT58" s="2379">
        <f t="shared" si="34"/>
        <v>0</v>
      </c>
      <c r="BU58" s="2383">
        <v>0</v>
      </c>
      <c r="BV58" s="2379" t="s">
        <v>1090</v>
      </c>
      <c r="BW58" s="2373">
        <v>0</v>
      </c>
      <c r="BX58" s="2373">
        <v>0</v>
      </c>
      <c r="BY58" s="2380"/>
      <c r="BZ58" s="2339"/>
      <c r="CA58" s="2381" t="s">
        <v>2905</v>
      </c>
      <c r="CB58" s="2376" t="s">
        <v>2906</v>
      </c>
    </row>
    <row r="59" spans="1:80" s="49" customFormat="1" ht="126.75" customHeight="1" thickBot="1">
      <c r="A59" s="2424"/>
      <c r="B59" s="2722"/>
      <c r="C59" s="2664"/>
      <c r="D59" s="129" t="s">
        <v>2869</v>
      </c>
      <c r="E59" s="2434" t="s">
        <v>2874</v>
      </c>
      <c r="F59" s="2434">
        <v>9</v>
      </c>
      <c r="G59" s="2434" t="s">
        <v>2875</v>
      </c>
      <c r="H59" s="2434" t="s">
        <v>2876</v>
      </c>
      <c r="I59" s="2434">
        <v>5</v>
      </c>
      <c r="J59" s="2434"/>
      <c r="K59" s="2435">
        <v>42217</v>
      </c>
      <c r="L59" s="2435">
        <v>42353</v>
      </c>
      <c r="M59" s="2436"/>
      <c r="N59" s="2436"/>
      <c r="O59" s="2436"/>
      <c r="P59" s="2436"/>
      <c r="Q59" s="2436"/>
      <c r="R59" s="2436"/>
      <c r="S59" s="2436"/>
      <c r="T59" s="2436"/>
      <c r="U59" s="2436"/>
      <c r="V59" s="2436"/>
      <c r="W59" s="2436"/>
      <c r="X59" s="2436">
        <v>9</v>
      </c>
      <c r="Y59" s="2428">
        <v>9</v>
      </c>
      <c r="Z59" s="2438">
        <v>0</v>
      </c>
      <c r="AA59" s="290"/>
      <c r="AB59" s="2425"/>
      <c r="AC59" s="2425"/>
      <c r="AD59" s="771"/>
      <c r="AE59" s="771"/>
      <c r="AF59" s="773"/>
      <c r="AG59" s="773"/>
      <c r="AH59" s="2429"/>
      <c r="AI59" s="2429"/>
      <c r="AJ59" s="2430"/>
      <c r="AK59" s="2430"/>
      <c r="AL59" s="2431"/>
      <c r="AM59" s="2431"/>
      <c r="AN59" s="634"/>
      <c r="AO59" s="645"/>
      <c r="AP59" s="2432"/>
      <c r="AQ59" s="645"/>
      <c r="AR59" s="2433"/>
      <c r="AS59" s="1647"/>
      <c r="AT59" s="1647"/>
      <c r="AU59" s="1215"/>
      <c r="AV59" s="624"/>
      <c r="AW59" s="665"/>
      <c r="AX59" s="665"/>
      <c r="AY59" s="1694"/>
      <c r="AZ59" s="1699"/>
      <c r="BA59" s="1708"/>
      <c r="BB59" s="1709"/>
      <c r="BC59" s="1715"/>
      <c r="BD59" s="1699"/>
      <c r="BE59" s="1745"/>
      <c r="BF59" s="1692"/>
      <c r="BG59" s="1702"/>
      <c r="BH59" s="1702"/>
      <c r="BI59" s="2084"/>
      <c r="BJ59" s="2183"/>
      <c r="BK59" s="2176"/>
      <c r="BL59" s="2183"/>
      <c r="BM59" s="2085"/>
      <c r="BN59" s="2085"/>
      <c r="BO59" s="2307"/>
      <c r="BP59" s="2084"/>
      <c r="BQ59" s="2178"/>
      <c r="BR59" s="1988"/>
      <c r="BS59" s="2373">
        <f t="shared" si="37"/>
        <v>0</v>
      </c>
      <c r="BT59" s="2379">
        <f t="shared" si="34"/>
        <v>0</v>
      </c>
      <c r="BU59" s="2383">
        <v>0</v>
      </c>
      <c r="BV59" s="2379" t="s">
        <v>1090</v>
      </c>
      <c r="BW59" s="2373">
        <v>0</v>
      </c>
      <c r="BX59" s="2373">
        <v>0</v>
      </c>
      <c r="BY59" s="2380"/>
      <c r="BZ59" s="2339"/>
      <c r="CA59" s="2381" t="s">
        <v>2907</v>
      </c>
      <c r="CB59" s="2376" t="s">
        <v>2908</v>
      </c>
    </row>
    <row r="60" spans="1:80" s="606" customFormat="1" ht="20.1" customHeight="1" thickBot="1">
      <c r="A60" s="2652" t="s">
        <v>130</v>
      </c>
      <c r="B60" s="2653"/>
      <c r="C60" s="2653"/>
      <c r="D60" s="2654"/>
      <c r="E60" s="2426"/>
      <c r="F60" s="2426"/>
      <c r="G60" s="2426"/>
      <c r="H60" s="2426"/>
      <c r="I60" s="2426">
        <f>SUM(I42:I56)</f>
        <v>100</v>
      </c>
      <c r="J60" s="2426"/>
      <c r="K60" s="2426"/>
      <c r="L60" s="2426"/>
      <c r="M60" s="2426"/>
      <c r="N60" s="2426"/>
      <c r="O60" s="2426"/>
      <c r="P60" s="2426"/>
      <c r="Q60" s="2426"/>
      <c r="R60" s="2426"/>
      <c r="S60" s="2426"/>
      <c r="T60" s="2426"/>
      <c r="U60" s="2426"/>
      <c r="V60" s="2426"/>
      <c r="W60" s="2426"/>
      <c r="X60" s="2426"/>
      <c r="Y60" s="1194"/>
      <c r="Z60" s="2321">
        <f>SUM(Z42:Z59)</f>
        <v>4592344156</v>
      </c>
      <c r="AA60" s="1195"/>
      <c r="AB60" s="705"/>
      <c r="AC60" s="705"/>
      <c r="AD60" s="705"/>
      <c r="AE60" s="705"/>
      <c r="AF60" s="705"/>
      <c r="AG60" s="705"/>
      <c r="AH60" s="705"/>
      <c r="AI60" s="705"/>
      <c r="AJ60" s="705"/>
      <c r="AK60" s="705"/>
      <c r="AL60" s="705"/>
      <c r="AM60" s="705"/>
      <c r="AN60" s="706"/>
      <c r="AO60" s="1272">
        <f>AVERAGEIF(AO42:AO56,"&gt;0")</f>
        <v>1</v>
      </c>
      <c r="AP60" s="707"/>
      <c r="AQ60" s="1607">
        <f>AVERAGE(AQ42:AQ56)</f>
        <v>0.6544217687074829</v>
      </c>
      <c r="AR60" s="706"/>
      <c r="AS60" s="1272">
        <f>AVERAGEIF(AS42:AS56,"&gt;=0")</f>
        <v>0.6544217687074829</v>
      </c>
      <c r="AT60" s="1261">
        <f>AVERAGE(AT42:AT56)</f>
        <v>0.27521381886087765</v>
      </c>
      <c r="AU60" s="1275">
        <f>SUM(AU42:AU56)</f>
        <v>1197897843</v>
      </c>
      <c r="AV60" s="1272">
        <f>AVERAGEIF(AV42:AV56,"&gt;0")</f>
        <v>0.2831545538417493</v>
      </c>
      <c r="AW60" s="707"/>
      <c r="AX60" s="707"/>
      <c r="AY60" s="708"/>
      <c r="AZ60" s="1754">
        <f>AVERAGEIF(AZ42:AZ56,"&gt;0")</f>
        <v>1</v>
      </c>
      <c r="BA60" s="709"/>
      <c r="BB60" s="1753">
        <f>AVERAGE(BB42:BB56)</f>
        <v>0.96415770609319</v>
      </c>
      <c r="BC60" s="708"/>
      <c r="BD60" s="1722">
        <f>AVERAGE(BD42:BD56)</f>
        <v>0.619815668202765</v>
      </c>
      <c r="BE60" s="709"/>
      <c r="BF60" s="708"/>
      <c r="BG60" s="709"/>
      <c r="BH60" s="709"/>
      <c r="BI60" s="708"/>
      <c r="BJ60" s="1754">
        <v>1</v>
      </c>
      <c r="BK60" s="708"/>
      <c r="BL60" s="1753">
        <f>AVERAGE(BL42:BL56)</f>
        <v>0.8362282878411911</v>
      </c>
      <c r="BM60" s="1722"/>
      <c r="BN60" s="1753">
        <f>AVERAGE(BN42:BN56)</f>
        <v>0.44571428571428573</v>
      </c>
      <c r="BO60" s="709"/>
      <c r="BP60" s="708"/>
      <c r="BQ60" s="709"/>
      <c r="BR60" s="708"/>
      <c r="BS60" s="708"/>
      <c r="BT60" s="1722">
        <v>1</v>
      </c>
      <c r="BU60" s="708"/>
      <c r="BV60" s="1753">
        <f>AVERAGE(BV42:BV59)</f>
        <v>0.7906993006993007</v>
      </c>
      <c r="BW60" s="1722"/>
      <c r="BX60" s="1753">
        <f>AVERAGE(BX42:BX59)</f>
        <v>0.5465640522875816</v>
      </c>
      <c r="BY60" s="709"/>
      <c r="BZ60" s="708"/>
      <c r="CA60" s="709"/>
      <c r="CB60" s="708"/>
    </row>
    <row r="61" spans="1:80" s="49" customFormat="1" ht="327.75" customHeight="1" thickBot="1">
      <c r="A61" s="2655">
        <v>2</v>
      </c>
      <c r="B61" s="2655" t="s">
        <v>1281</v>
      </c>
      <c r="C61" s="2665" t="s">
        <v>1707</v>
      </c>
      <c r="D61" s="254" t="s">
        <v>1708</v>
      </c>
      <c r="E61" s="64" t="s">
        <v>1542</v>
      </c>
      <c r="F61" s="64" t="s">
        <v>506</v>
      </c>
      <c r="G61" s="64" t="s">
        <v>1709</v>
      </c>
      <c r="H61" s="65" t="s">
        <v>1543</v>
      </c>
      <c r="I61" s="65">
        <v>5</v>
      </c>
      <c r="J61" s="65" t="s">
        <v>1544</v>
      </c>
      <c r="K61" s="256">
        <v>42019</v>
      </c>
      <c r="L61" s="67">
        <v>42368</v>
      </c>
      <c r="M61" s="1276"/>
      <c r="N61" s="1276">
        <v>1</v>
      </c>
      <c r="O61" s="1276"/>
      <c r="P61" s="1276">
        <v>1</v>
      </c>
      <c r="Q61" s="1276"/>
      <c r="R61" s="1276">
        <v>1</v>
      </c>
      <c r="S61" s="1276"/>
      <c r="T61" s="1276">
        <v>1</v>
      </c>
      <c r="U61" s="1276"/>
      <c r="V61" s="1276">
        <v>1</v>
      </c>
      <c r="W61" s="1276"/>
      <c r="X61" s="1276">
        <v>1</v>
      </c>
      <c r="Y61" s="538">
        <f>AVERAGE(M61:X61)</f>
        <v>1</v>
      </c>
      <c r="Z61" s="75">
        <v>0</v>
      </c>
      <c r="AA61" s="610"/>
      <c r="AB61" s="2695">
        <v>1</v>
      </c>
      <c r="AC61" s="2696"/>
      <c r="AD61" s="2696"/>
      <c r="AE61" s="2696"/>
      <c r="AF61" s="2696"/>
      <c r="AG61" s="2696"/>
      <c r="AH61" s="2696"/>
      <c r="AI61" s="2696"/>
      <c r="AJ61" s="2696"/>
      <c r="AK61" s="2696"/>
      <c r="AL61" s="2696"/>
      <c r="AM61" s="2697"/>
      <c r="AN61" s="645">
        <f t="shared" si="26"/>
        <v>1</v>
      </c>
      <c r="AO61" s="645">
        <f aca="true" t="shared" si="41" ref="AO61:AO87">IF(AN61=0,0%,100%)</f>
        <v>1</v>
      </c>
      <c r="AP61" s="632">
        <f t="shared" si="28"/>
        <v>1</v>
      </c>
      <c r="AQ61" s="645">
        <f aca="true" t="shared" si="42" ref="AQ61:AQ87">AP61/AN61</f>
        <v>1</v>
      </c>
      <c r="AR61" s="622">
        <f aca="true" t="shared" si="43" ref="AR61:AR87">+AP61/Y61</f>
        <v>1</v>
      </c>
      <c r="AS61" s="1647">
        <f aca="true" t="shared" si="44" ref="AS61:AS87">IF(AO61&gt;0,AQ61,"-")</f>
        <v>1</v>
      </c>
      <c r="AT61" s="1647">
        <f aca="true" t="shared" si="45" ref="AT61">AR61</f>
        <v>1</v>
      </c>
      <c r="AU61" s="1215">
        <v>0</v>
      </c>
      <c r="AV61" s="624">
        <v>0</v>
      </c>
      <c r="AW61" s="665" t="s">
        <v>1710</v>
      </c>
      <c r="AX61" s="665"/>
      <c r="AY61" s="1699">
        <v>1</v>
      </c>
      <c r="AZ61" s="1699">
        <f t="shared" si="30"/>
        <v>1</v>
      </c>
      <c r="BA61" s="1709">
        <v>1</v>
      </c>
      <c r="BB61" s="1715">
        <f aca="true" t="shared" si="46" ref="BB61:BB74">BA61/AY61</f>
        <v>1</v>
      </c>
      <c r="BC61" s="1715">
        <f aca="true" t="shared" si="47" ref="BC61:BC66">BA61/Y61</f>
        <v>1</v>
      </c>
      <c r="BD61" s="1699">
        <f t="shared" si="32"/>
        <v>1</v>
      </c>
      <c r="BE61" s="1745">
        <v>0</v>
      </c>
      <c r="BF61" s="1692"/>
      <c r="BG61" s="1702" t="s">
        <v>2056</v>
      </c>
      <c r="BH61" s="1702" t="s">
        <v>1770</v>
      </c>
      <c r="BI61" s="2084">
        <v>1</v>
      </c>
      <c r="BJ61" s="2183">
        <f t="shared" si="33"/>
        <v>1</v>
      </c>
      <c r="BK61" s="2177">
        <v>1</v>
      </c>
      <c r="BL61" s="2183">
        <v>1</v>
      </c>
      <c r="BM61" s="2085">
        <v>0.5</v>
      </c>
      <c r="BN61" s="2085">
        <v>0.5</v>
      </c>
      <c r="BO61" s="2307">
        <v>0</v>
      </c>
      <c r="BP61" s="2084" t="s">
        <v>1090</v>
      </c>
      <c r="BQ61" s="2178" t="s">
        <v>2653</v>
      </c>
      <c r="BR61" s="1988" t="s">
        <v>2654</v>
      </c>
      <c r="BS61" s="2382">
        <v>1</v>
      </c>
      <c r="BT61" s="2379">
        <f t="shared" si="34"/>
        <v>1</v>
      </c>
      <c r="BU61" s="2384">
        <v>1</v>
      </c>
      <c r="BV61" s="2379">
        <v>1</v>
      </c>
      <c r="BW61" s="2373">
        <v>1</v>
      </c>
      <c r="BX61" s="2373">
        <v>1</v>
      </c>
      <c r="BY61" s="2380"/>
      <c r="BZ61" s="2339"/>
      <c r="CA61" s="2381" t="s">
        <v>2909</v>
      </c>
      <c r="CB61" s="2376" t="s">
        <v>1770</v>
      </c>
    </row>
    <row r="62" spans="1:80" s="49" customFormat="1" ht="116.25" thickBot="1">
      <c r="A62" s="2655"/>
      <c r="B62" s="2655"/>
      <c r="C62" s="2666"/>
      <c r="D62" s="254" t="s">
        <v>1711</v>
      </c>
      <c r="E62" s="64" t="s">
        <v>1300</v>
      </c>
      <c r="F62" s="64" t="s">
        <v>100</v>
      </c>
      <c r="G62" s="64" t="s">
        <v>1301</v>
      </c>
      <c r="H62" s="65" t="s">
        <v>1302</v>
      </c>
      <c r="I62" s="65">
        <v>4</v>
      </c>
      <c r="J62" s="65" t="s">
        <v>1545</v>
      </c>
      <c r="K62" s="256">
        <v>42019</v>
      </c>
      <c r="L62" s="67">
        <v>42355</v>
      </c>
      <c r="M62" s="1276"/>
      <c r="N62" s="1276">
        <v>1</v>
      </c>
      <c r="O62" s="1276"/>
      <c r="P62" s="1276">
        <v>1</v>
      </c>
      <c r="Q62" s="1276"/>
      <c r="R62" s="1276">
        <v>1</v>
      </c>
      <c r="S62" s="1276"/>
      <c r="T62" s="1276">
        <v>1</v>
      </c>
      <c r="U62" s="1276"/>
      <c r="V62" s="1276">
        <v>1</v>
      </c>
      <c r="W62" s="1276"/>
      <c r="X62" s="1276">
        <v>1</v>
      </c>
      <c r="Y62" s="538">
        <f aca="true" t="shared" si="48" ref="Y62:Y63">AVERAGE(M62:X62)</f>
        <v>1</v>
      </c>
      <c r="Z62" s="75">
        <v>0</v>
      </c>
      <c r="AA62" s="610"/>
      <c r="AB62" s="2695">
        <v>1</v>
      </c>
      <c r="AC62" s="2696"/>
      <c r="AD62" s="2696"/>
      <c r="AE62" s="2696"/>
      <c r="AF62" s="2696"/>
      <c r="AG62" s="2696"/>
      <c r="AH62" s="2696"/>
      <c r="AI62" s="2696"/>
      <c r="AJ62" s="2696"/>
      <c r="AK62" s="2696"/>
      <c r="AL62" s="2696"/>
      <c r="AM62" s="2697"/>
      <c r="AN62" s="645">
        <f t="shared" si="26"/>
        <v>1</v>
      </c>
      <c r="AO62" s="645">
        <f t="shared" si="41"/>
        <v>1</v>
      </c>
      <c r="AP62" s="632">
        <f t="shared" si="28"/>
        <v>1</v>
      </c>
      <c r="AQ62" s="645">
        <f t="shared" si="42"/>
        <v>1</v>
      </c>
      <c r="AR62" s="622">
        <f t="shared" si="43"/>
        <v>1</v>
      </c>
      <c r="AS62" s="1647">
        <f t="shared" si="44"/>
        <v>1</v>
      </c>
      <c r="AT62" s="1647">
        <f aca="true" t="shared" si="49" ref="AT62:AT87">AR62</f>
        <v>1</v>
      </c>
      <c r="AU62" s="1215">
        <v>0</v>
      </c>
      <c r="AV62" s="624">
        <v>0</v>
      </c>
      <c r="AW62" s="665" t="s">
        <v>1712</v>
      </c>
      <c r="AX62" s="665"/>
      <c r="AY62" s="1699">
        <v>1</v>
      </c>
      <c r="AZ62" s="1699">
        <f t="shared" si="30"/>
        <v>1</v>
      </c>
      <c r="BA62" s="1709">
        <v>1</v>
      </c>
      <c r="BB62" s="1715">
        <f t="shared" si="46"/>
        <v>1</v>
      </c>
      <c r="BC62" s="1715">
        <f t="shared" si="47"/>
        <v>1</v>
      </c>
      <c r="BD62" s="1699">
        <f t="shared" si="32"/>
        <v>1</v>
      </c>
      <c r="BE62" s="1745">
        <v>0</v>
      </c>
      <c r="BF62" s="1692"/>
      <c r="BG62" s="1702" t="s">
        <v>2057</v>
      </c>
      <c r="BH62" s="1702" t="s">
        <v>1770</v>
      </c>
      <c r="BI62" s="2084">
        <v>1</v>
      </c>
      <c r="BJ62" s="2183">
        <f t="shared" si="33"/>
        <v>1</v>
      </c>
      <c r="BK62" s="2177">
        <v>1</v>
      </c>
      <c r="BL62" s="2183">
        <v>1</v>
      </c>
      <c r="BM62" s="2085">
        <v>0.5</v>
      </c>
      <c r="BN62" s="2085">
        <v>0.5</v>
      </c>
      <c r="BO62" s="2307">
        <v>0</v>
      </c>
      <c r="BP62" s="2084" t="s">
        <v>1090</v>
      </c>
      <c r="BQ62" s="2178" t="s">
        <v>2655</v>
      </c>
      <c r="BR62" s="1988"/>
      <c r="BS62" s="2382">
        <v>1</v>
      </c>
      <c r="BT62" s="2379">
        <f t="shared" si="34"/>
        <v>1</v>
      </c>
      <c r="BU62" s="2384">
        <v>1</v>
      </c>
      <c r="BV62" s="2379">
        <v>1</v>
      </c>
      <c r="BW62" s="2373">
        <v>1</v>
      </c>
      <c r="BX62" s="2373">
        <v>1</v>
      </c>
      <c r="BY62" s="2380"/>
      <c r="BZ62" s="2339"/>
      <c r="CA62" s="2381" t="s">
        <v>2910</v>
      </c>
      <c r="CB62" s="2376" t="s">
        <v>1770</v>
      </c>
    </row>
    <row r="63" spans="1:80" s="49" customFormat="1" ht="409.5" customHeight="1" thickBot="1">
      <c r="A63" s="2655"/>
      <c r="B63" s="2655"/>
      <c r="C63" s="2666"/>
      <c r="D63" s="254" t="s">
        <v>1713</v>
      </c>
      <c r="E63" s="64" t="s">
        <v>1299</v>
      </c>
      <c r="F63" s="64" t="s">
        <v>100</v>
      </c>
      <c r="G63" s="64" t="s">
        <v>1298</v>
      </c>
      <c r="H63" s="65" t="s">
        <v>1543</v>
      </c>
      <c r="I63" s="65">
        <v>3</v>
      </c>
      <c r="J63" s="65" t="s">
        <v>1544</v>
      </c>
      <c r="K63" s="256">
        <v>42019</v>
      </c>
      <c r="L63" s="67">
        <v>42355</v>
      </c>
      <c r="M63" s="1276"/>
      <c r="N63" s="1276">
        <v>1</v>
      </c>
      <c r="O63" s="1276"/>
      <c r="P63" s="1276">
        <v>1</v>
      </c>
      <c r="Q63" s="1276"/>
      <c r="R63" s="1276">
        <v>1</v>
      </c>
      <c r="S63" s="1276"/>
      <c r="T63" s="1276">
        <v>1</v>
      </c>
      <c r="U63" s="1276"/>
      <c r="V63" s="1276">
        <v>1</v>
      </c>
      <c r="W63" s="1276"/>
      <c r="X63" s="1276">
        <v>1</v>
      </c>
      <c r="Y63" s="538">
        <f t="shared" si="48"/>
        <v>1</v>
      </c>
      <c r="Z63" s="75">
        <v>0</v>
      </c>
      <c r="AA63" s="610"/>
      <c r="AB63" s="2695">
        <v>1</v>
      </c>
      <c r="AC63" s="2696"/>
      <c r="AD63" s="2696"/>
      <c r="AE63" s="2696"/>
      <c r="AF63" s="2696"/>
      <c r="AG63" s="2696"/>
      <c r="AH63" s="2696"/>
      <c r="AI63" s="2696"/>
      <c r="AJ63" s="2696"/>
      <c r="AK63" s="2696"/>
      <c r="AL63" s="2696"/>
      <c r="AM63" s="2697"/>
      <c r="AN63" s="645">
        <f t="shared" si="26"/>
        <v>1</v>
      </c>
      <c r="AO63" s="645">
        <f t="shared" si="41"/>
        <v>1</v>
      </c>
      <c r="AP63" s="632">
        <f t="shared" si="28"/>
        <v>1</v>
      </c>
      <c r="AQ63" s="645">
        <f t="shared" si="42"/>
        <v>1</v>
      </c>
      <c r="AR63" s="622">
        <f t="shared" si="43"/>
        <v>1</v>
      </c>
      <c r="AS63" s="1647">
        <f t="shared" si="44"/>
        <v>1</v>
      </c>
      <c r="AT63" s="1647">
        <f t="shared" si="49"/>
        <v>1</v>
      </c>
      <c r="AU63" s="1215">
        <v>0</v>
      </c>
      <c r="AV63" s="624">
        <v>0</v>
      </c>
      <c r="AW63" s="665" t="s">
        <v>1714</v>
      </c>
      <c r="AX63" s="665"/>
      <c r="AY63" s="1699">
        <v>1</v>
      </c>
      <c r="AZ63" s="1699">
        <f t="shared" si="30"/>
        <v>1</v>
      </c>
      <c r="BA63" s="1709">
        <v>1</v>
      </c>
      <c r="BB63" s="1715">
        <f t="shared" si="46"/>
        <v>1</v>
      </c>
      <c r="BC63" s="1715">
        <f t="shared" si="47"/>
        <v>1</v>
      </c>
      <c r="BD63" s="1699">
        <f t="shared" si="32"/>
        <v>1</v>
      </c>
      <c r="BE63" s="1745">
        <v>0</v>
      </c>
      <c r="BF63" s="1692"/>
      <c r="BG63" s="1702" t="s">
        <v>2058</v>
      </c>
      <c r="BH63" s="1702" t="s">
        <v>1770</v>
      </c>
      <c r="BI63" s="2084">
        <v>1</v>
      </c>
      <c r="BJ63" s="2183">
        <f t="shared" si="33"/>
        <v>1</v>
      </c>
      <c r="BK63" s="2177">
        <v>1</v>
      </c>
      <c r="BL63" s="2183">
        <v>1</v>
      </c>
      <c r="BM63" s="2085">
        <v>0.5</v>
      </c>
      <c r="BN63" s="2085">
        <v>0.5</v>
      </c>
      <c r="BO63" s="2307">
        <v>0</v>
      </c>
      <c r="BP63" s="2084" t="s">
        <v>1090</v>
      </c>
      <c r="BQ63" s="2178" t="s">
        <v>2656</v>
      </c>
      <c r="BR63" s="1988"/>
      <c r="BS63" s="2382">
        <v>1</v>
      </c>
      <c r="BT63" s="2379">
        <f t="shared" si="34"/>
        <v>1</v>
      </c>
      <c r="BU63" s="2384">
        <v>1</v>
      </c>
      <c r="BV63" s="2379">
        <v>1</v>
      </c>
      <c r="BW63" s="2373">
        <v>1</v>
      </c>
      <c r="BX63" s="2373">
        <v>1</v>
      </c>
      <c r="BY63" s="2380"/>
      <c r="BZ63" s="2339"/>
      <c r="CA63" s="2381" t="s">
        <v>2911</v>
      </c>
      <c r="CB63" s="2376" t="s">
        <v>1770</v>
      </c>
    </row>
    <row r="64" spans="1:80" s="49" customFormat="1" ht="222" customHeight="1" thickBot="1">
      <c r="A64" s="2655"/>
      <c r="B64" s="2655"/>
      <c r="C64" s="2666"/>
      <c r="D64" s="50" t="s">
        <v>1715</v>
      </c>
      <c r="E64" s="337" t="s">
        <v>1101</v>
      </c>
      <c r="F64" s="337">
        <v>100</v>
      </c>
      <c r="G64" s="337" t="s">
        <v>1294</v>
      </c>
      <c r="H64" s="309" t="s">
        <v>1295</v>
      </c>
      <c r="I64" s="309">
        <v>1.5</v>
      </c>
      <c r="J64" s="309" t="s">
        <v>1546</v>
      </c>
      <c r="K64" s="710">
        <v>42019</v>
      </c>
      <c r="L64" s="67">
        <v>42262</v>
      </c>
      <c r="M64" s="69"/>
      <c r="N64" s="70"/>
      <c r="O64" s="569">
        <v>0.1</v>
      </c>
      <c r="P64" s="569">
        <v>0.1</v>
      </c>
      <c r="Q64" s="569">
        <v>0.1</v>
      </c>
      <c r="R64" s="569">
        <v>0.1</v>
      </c>
      <c r="S64" s="569">
        <v>0.2</v>
      </c>
      <c r="T64" s="570">
        <v>0.2</v>
      </c>
      <c r="U64" s="571">
        <v>0.2</v>
      </c>
      <c r="V64" s="569"/>
      <c r="W64" s="569"/>
      <c r="X64" s="570"/>
      <c r="Y64" s="538">
        <f aca="true" t="shared" si="50" ref="Y64:Y67">SUM(M64:X64)</f>
        <v>1</v>
      </c>
      <c r="Z64" s="75">
        <v>0</v>
      </c>
      <c r="AA64" s="610"/>
      <c r="AB64" s="1240">
        <v>0</v>
      </c>
      <c r="AC64" s="1241">
        <v>0.03</v>
      </c>
      <c r="AD64" s="711"/>
      <c r="AE64" s="711"/>
      <c r="AF64" s="712"/>
      <c r="AG64" s="712"/>
      <c r="AH64" s="713"/>
      <c r="AI64" s="714"/>
      <c r="AJ64" s="715"/>
      <c r="AK64" s="716"/>
      <c r="AL64" s="717"/>
      <c r="AM64" s="718"/>
      <c r="AN64" s="645">
        <f t="shared" si="26"/>
        <v>0</v>
      </c>
      <c r="AO64" s="645">
        <f t="shared" si="41"/>
        <v>0</v>
      </c>
      <c r="AP64" s="632">
        <f t="shared" si="28"/>
        <v>0.03</v>
      </c>
      <c r="AQ64" s="645" t="s">
        <v>1090</v>
      </c>
      <c r="AR64" s="622">
        <f t="shared" si="43"/>
        <v>0.03</v>
      </c>
      <c r="AS64" s="1647" t="str">
        <f t="shared" si="44"/>
        <v>-</v>
      </c>
      <c r="AT64" s="1647">
        <f t="shared" si="49"/>
        <v>0.03</v>
      </c>
      <c r="AU64" s="1215">
        <v>0</v>
      </c>
      <c r="AV64" s="624">
        <v>0</v>
      </c>
      <c r="AW64" s="665" t="s">
        <v>1716</v>
      </c>
      <c r="AX64" s="665"/>
      <c r="AY64" s="1699">
        <v>0.2</v>
      </c>
      <c r="AZ64" s="1699">
        <f t="shared" si="30"/>
        <v>1</v>
      </c>
      <c r="BA64" s="1709">
        <v>0.2</v>
      </c>
      <c r="BB64" s="1715">
        <f t="shared" si="46"/>
        <v>1</v>
      </c>
      <c r="BC64" s="1715">
        <f t="shared" si="47"/>
        <v>0.2</v>
      </c>
      <c r="BD64" s="1699">
        <f t="shared" si="32"/>
        <v>1</v>
      </c>
      <c r="BE64" s="1745">
        <v>0</v>
      </c>
      <c r="BF64" s="1692"/>
      <c r="BG64" s="1702" t="s">
        <v>2059</v>
      </c>
      <c r="BH64" s="1702" t="s">
        <v>1770</v>
      </c>
      <c r="BI64" s="2084">
        <v>0.4</v>
      </c>
      <c r="BJ64" s="2183">
        <f t="shared" si="33"/>
        <v>1</v>
      </c>
      <c r="BK64" s="2177">
        <v>0.8500000000000001</v>
      </c>
      <c r="BL64" s="2183">
        <v>1</v>
      </c>
      <c r="BM64" s="2085">
        <v>0.85</v>
      </c>
      <c r="BN64" s="2085">
        <v>0.85</v>
      </c>
      <c r="BO64" s="2307">
        <v>0</v>
      </c>
      <c r="BP64" s="2084" t="s">
        <v>1090</v>
      </c>
      <c r="BQ64" s="2178" t="s">
        <v>2657</v>
      </c>
      <c r="BR64" s="1988" t="s">
        <v>2658</v>
      </c>
      <c r="BS64" s="2382">
        <f aca="true" t="shared" si="51" ref="BS64:BS87">SUM(M64:T64)</f>
        <v>0.8</v>
      </c>
      <c r="BT64" s="2379">
        <f t="shared" si="34"/>
        <v>1</v>
      </c>
      <c r="BU64" s="2384">
        <v>0.9500000000000002</v>
      </c>
      <c r="BV64" s="2379">
        <v>1</v>
      </c>
      <c r="BW64" s="2373">
        <v>0.9500000000000002</v>
      </c>
      <c r="BX64" s="2373">
        <f>BU64/Y64</f>
        <v>0.9500000000000002</v>
      </c>
      <c r="BY64" s="2380"/>
      <c r="BZ64" s="2339"/>
      <c r="CA64" s="2381" t="s">
        <v>2912</v>
      </c>
      <c r="CB64" s="2376" t="s">
        <v>1770</v>
      </c>
    </row>
    <row r="65" spans="1:80" s="49" customFormat="1" ht="223.5" customHeight="1" thickBot="1">
      <c r="A65" s="2655"/>
      <c r="B65" s="2655"/>
      <c r="C65" s="2666"/>
      <c r="D65" s="50" t="s">
        <v>1547</v>
      </c>
      <c r="E65" s="337" t="s">
        <v>1717</v>
      </c>
      <c r="F65" s="337">
        <v>100</v>
      </c>
      <c r="G65" s="337" t="s">
        <v>1548</v>
      </c>
      <c r="H65" s="309" t="s">
        <v>1282</v>
      </c>
      <c r="I65" s="309">
        <v>1.5</v>
      </c>
      <c r="J65" s="309" t="s">
        <v>1549</v>
      </c>
      <c r="K65" s="710">
        <v>42064</v>
      </c>
      <c r="L65" s="67">
        <v>42277</v>
      </c>
      <c r="M65" s="69"/>
      <c r="N65" s="70"/>
      <c r="O65" s="569"/>
      <c r="P65" s="569"/>
      <c r="Q65" s="569"/>
      <c r="R65" s="569"/>
      <c r="S65" s="569">
        <v>0.2</v>
      </c>
      <c r="T65" s="570">
        <v>0.2</v>
      </c>
      <c r="U65" s="571">
        <v>0.6</v>
      </c>
      <c r="V65" s="569"/>
      <c r="W65" s="569"/>
      <c r="X65" s="570"/>
      <c r="Y65" s="538">
        <f t="shared" si="50"/>
        <v>1</v>
      </c>
      <c r="Z65" s="608">
        <v>100000000</v>
      </c>
      <c r="AA65" s="610"/>
      <c r="AB65" s="1242">
        <v>0</v>
      </c>
      <c r="AC65" s="1241">
        <v>0</v>
      </c>
      <c r="AD65" s="711"/>
      <c r="AE65" s="711"/>
      <c r="AF65" s="712"/>
      <c r="AG65" s="712"/>
      <c r="AH65" s="713"/>
      <c r="AI65" s="714"/>
      <c r="AJ65" s="715"/>
      <c r="AK65" s="716"/>
      <c r="AL65" s="717"/>
      <c r="AM65" s="718"/>
      <c r="AN65" s="645">
        <f t="shared" si="26"/>
        <v>0</v>
      </c>
      <c r="AO65" s="645">
        <f t="shared" si="41"/>
        <v>0</v>
      </c>
      <c r="AP65" s="632">
        <f t="shared" si="28"/>
        <v>0</v>
      </c>
      <c r="AQ65" s="645" t="s">
        <v>1090</v>
      </c>
      <c r="AR65" s="622">
        <f t="shared" si="43"/>
        <v>0</v>
      </c>
      <c r="AS65" s="1647" t="str">
        <f t="shared" si="44"/>
        <v>-</v>
      </c>
      <c r="AT65" s="1647">
        <f t="shared" si="49"/>
        <v>0</v>
      </c>
      <c r="AU65" s="1215">
        <v>0</v>
      </c>
      <c r="AV65" s="624">
        <v>0</v>
      </c>
      <c r="AW65" s="665" t="s">
        <v>1718</v>
      </c>
      <c r="AX65" s="665"/>
      <c r="AY65" s="1697">
        <f aca="true" t="shared" si="52" ref="AY65:AY87">SUM(M65:P65)</f>
        <v>0</v>
      </c>
      <c r="AZ65" s="1699">
        <f t="shared" si="30"/>
        <v>0</v>
      </c>
      <c r="BA65" s="1708">
        <v>0</v>
      </c>
      <c r="BB65" s="1715" t="s">
        <v>1090</v>
      </c>
      <c r="BC65" s="1715">
        <f t="shared" si="47"/>
        <v>0</v>
      </c>
      <c r="BD65" s="1699">
        <v>0</v>
      </c>
      <c r="BE65" s="1745">
        <v>0</v>
      </c>
      <c r="BF65" s="1692"/>
      <c r="BG65" s="1702" t="s">
        <v>2060</v>
      </c>
      <c r="BH65" s="1702" t="s">
        <v>1770</v>
      </c>
      <c r="BI65" s="2084">
        <v>0</v>
      </c>
      <c r="BJ65" s="2183">
        <f t="shared" si="33"/>
        <v>0</v>
      </c>
      <c r="BK65" s="2177">
        <v>0</v>
      </c>
      <c r="BL65" s="2183" t="s">
        <v>1090</v>
      </c>
      <c r="BM65" s="2085">
        <v>0</v>
      </c>
      <c r="BN65" s="2085">
        <v>0</v>
      </c>
      <c r="BO65" s="2307">
        <v>0</v>
      </c>
      <c r="BP65" s="2084" t="s">
        <v>1090</v>
      </c>
      <c r="BQ65" s="2178" t="s">
        <v>2659</v>
      </c>
      <c r="BR65" s="1988"/>
      <c r="BS65" s="2382">
        <f t="shared" si="51"/>
        <v>0.4</v>
      </c>
      <c r="BT65" s="2379">
        <f t="shared" si="34"/>
        <v>1</v>
      </c>
      <c r="BU65" s="2384">
        <v>0.6</v>
      </c>
      <c r="BV65" s="2379">
        <v>1</v>
      </c>
      <c r="BW65" s="2373">
        <v>0.6</v>
      </c>
      <c r="BX65" s="2373">
        <f>BU65/Y65</f>
        <v>0.6</v>
      </c>
      <c r="BY65" s="2380"/>
      <c r="BZ65" s="2339"/>
      <c r="CA65" s="2381" t="s">
        <v>2913</v>
      </c>
      <c r="CB65" s="2376" t="s">
        <v>1770</v>
      </c>
    </row>
    <row r="66" spans="1:80" s="49" customFormat="1" ht="188.25" customHeight="1" thickBot="1">
      <c r="A66" s="2655"/>
      <c r="B66" s="2655"/>
      <c r="C66" s="2666"/>
      <c r="D66" s="50" t="s">
        <v>1719</v>
      </c>
      <c r="E66" s="337" t="s">
        <v>1297</v>
      </c>
      <c r="F66" s="337">
        <v>100</v>
      </c>
      <c r="G66" s="337" t="s">
        <v>1296</v>
      </c>
      <c r="H66" s="309" t="s">
        <v>1295</v>
      </c>
      <c r="I66" s="309">
        <v>3</v>
      </c>
      <c r="J66" s="309" t="s">
        <v>1550</v>
      </c>
      <c r="K66" s="710">
        <v>42019</v>
      </c>
      <c r="L66" s="67">
        <v>42355</v>
      </c>
      <c r="M66" s="69"/>
      <c r="N66" s="70"/>
      <c r="O66" s="569">
        <v>0.1</v>
      </c>
      <c r="P66" s="569">
        <v>0.1</v>
      </c>
      <c r="Q66" s="569">
        <v>0.1</v>
      </c>
      <c r="R66" s="569">
        <v>0.1</v>
      </c>
      <c r="S66" s="569">
        <v>0.1</v>
      </c>
      <c r="T66" s="570">
        <v>0.2</v>
      </c>
      <c r="U66" s="571">
        <v>0.2</v>
      </c>
      <c r="V66" s="569">
        <v>0.1</v>
      </c>
      <c r="W66" s="569"/>
      <c r="X66" s="570"/>
      <c r="Y66" s="538">
        <f t="shared" si="50"/>
        <v>0.9999999999999999</v>
      </c>
      <c r="Z66" s="75">
        <v>0</v>
      </c>
      <c r="AA66" s="610"/>
      <c r="AB66" s="1242">
        <v>0</v>
      </c>
      <c r="AC66" s="1241">
        <v>0.03</v>
      </c>
      <c r="AD66" s="711"/>
      <c r="AE66" s="711"/>
      <c r="AF66" s="712"/>
      <c r="AG66" s="712"/>
      <c r="AH66" s="713"/>
      <c r="AI66" s="714"/>
      <c r="AJ66" s="715"/>
      <c r="AK66" s="716"/>
      <c r="AL66" s="717"/>
      <c r="AM66" s="718"/>
      <c r="AN66" s="645">
        <f t="shared" si="26"/>
        <v>0</v>
      </c>
      <c r="AO66" s="645">
        <f t="shared" si="41"/>
        <v>0</v>
      </c>
      <c r="AP66" s="632">
        <f t="shared" si="28"/>
        <v>0.03</v>
      </c>
      <c r="AQ66" s="645" t="s">
        <v>1090</v>
      </c>
      <c r="AR66" s="622">
        <f t="shared" si="43"/>
        <v>0.030000000000000002</v>
      </c>
      <c r="AS66" s="1647" t="str">
        <f t="shared" si="44"/>
        <v>-</v>
      </c>
      <c r="AT66" s="1647">
        <f t="shared" si="49"/>
        <v>0.030000000000000002</v>
      </c>
      <c r="AU66" s="1215">
        <v>0</v>
      </c>
      <c r="AV66" s="624">
        <v>0</v>
      </c>
      <c r="AW66" s="665" t="s">
        <v>1720</v>
      </c>
      <c r="AX66" s="665"/>
      <c r="AY66" s="1699">
        <v>0.2</v>
      </c>
      <c r="AZ66" s="1699">
        <f t="shared" si="30"/>
        <v>1</v>
      </c>
      <c r="BA66" s="1709">
        <v>0.2</v>
      </c>
      <c r="BB66" s="1715">
        <f t="shared" si="46"/>
        <v>1</v>
      </c>
      <c r="BC66" s="1715">
        <f t="shared" si="47"/>
        <v>0.20000000000000004</v>
      </c>
      <c r="BD66" s="1699">
        <f t="shared" si="32"/>
        <v>1</v>
      </c>
      <c r="BE66" s="1745">
        <v>0</v>
      </c>
      <c r="BF66" s="1692"/>
      <c r="BG66" s="1702" t="s">
        <v>2061</v>
      </c>
      <c r="BH66" s="1702" t="s">
        <v>1770</v>
      </c>
      <c r="BI66" s="2084">
        <v>0.4</v>
      </c>
      <c r="BJ66" s="2183">
        <f t="shared" si="33"/>
        <v>1</v>
      </c>
      <c r="BK66" s="2177">
        <v>0.64</v>
      </c>
      <c r="BL66" s="2183">
        <v>1</v>
      </c>
      <c r="BM66" s="2085">
        <v>0.64</v>
      </c>
      <c r="BN66" s="2085">
        <v>0.64</v>
      </c>
      <c r="BO66" s="2307">
        <v>0</v>
      </c>
      <c r="BP66" s="2084" t="s">
        <v>1090</v>
      </c>
      <c r="BQ66" s="2178" t="s">
        <v>2660</v>
      </c>
      <c r="BR66" s="1988" t="s">
        <v>2661</v>
      </c>
      <c r="BS66" s="2382">
        <f t="shared" si="51"/>
        <v>0.7</v>
      </c>
      <c r="BT66" s="2379">
        <f t="shared" si="34"/>
        <v>1</v>
      </c>
      <c r="BU66" s="2384">
        <v>1</v>
      </c>
      <c r="BV66" s="2379">
        <v>1</v>
      </c>
      <c r="BW66" s="2373">
        <v>1</v>
      </c>
      <c r="BX66" s="2373">
        <v>1</v>
      </c>
      <c r="BY66" s="2380"/>
      <c r="BZ66" s="2339"/>
      <c r="CA66" s="2381" t="s">
        <v>2914</v>
      </c>
      <c r="CB66" s="2376" t="s">
        <v>1770</v>
      </c>
    </row>
    <row r="67" spans="1:80" s="49" customFormat="1" ht="206.25" customHeight="1" thickBot="1">
      <c r="A67" s="2655"/>
      <c r="B67" s="2655"/>
      <c r="C67" s="2666"/>
      <c r="D67" s="254" t="s">
        <v>1284</v>
      </c>
      <c r="E67" s="64" t="s">
        <v>1283</v>
      </c>
      <c r="F67" s="64">
        <v>2</v>
      </c>
      <c r="G67" s="64" t="s">
        <v>1285</v>
      </c>
      <c r="H67" s="65" t="s">
        <v>1286</v>
      </c>
      <c r="I67" s="65">
        <v>4</v>
      </c>
      <c r="J67" s="65" t="s">
        <v>1551</v>
      </c>
      <c r="K67" s="256">
        <v>42019</v>
      </c>
      <c r="L67" s="67">
        <v>42246</v>
      </c>
      <c r="M67" s="69"/>
      <c r="N67" s="70"/>
      <c r="O67" s="70"/>
      <c r="P67" s="70"/>
      <c r="Q67" s="70">
        <v>1</v>
      </c>
      <c r="R67" s="70"/>
      <c r="S67" s="70"/>
      <c r="T67" s="71"/>
      <c r="U67" s="72">
        <v>1</v>
      </c>
      <c r="V67" s="73"/>
      <c r="W67" s="73"/>
      <c r="X67" s="568"/>
      <c r="Y67" s="506">
        <f t="shared" si="50"/>
        <v>2</v>
      </c>
      <c r="Z67" s="75">
        <v>0</v>
      </c>
      <c r="AA67" s="610"/>
      <c r="AB67" s="1242">
        <v>0.07</v>
      </c>
      <c r="AC67" s="1241">
        <v>0.07</v>
      </c>
      <c r="AD67" s="719"/>
      <c r="AE67" s="719"/>
      <c r="AF67" s="720"/>
      <c r="AG67" s="720"/>
      <c r="AH67" s="721"/>
      <c r="AI67" s="722"/>
      <c r="AJ67" s="723"/>
      <c r="AK67" s="724"/>
      <c r="AL67" s="725"/>
      <c r="AM67" s="726"/>
      <c r="AN67" s="634">
        <f t="shared" si="26"/>
        <v>0</v>
      </c>
      <c r="AO67" s="645">
        <f t="shared" si="41"/>
        <v>0</v>
      </c>
      <c r="AP67" s="621">
        <f t="shared" si="28"/>
        <v>0.14</v>
      </c>
      <c r="AQ67" s="645" t="s">
        <v>1090</v>
      </c>
      <c r="AR67" s="622">
        <f t="shared" si="43"/>
        <v>0.07</v>
      </c>
      <c r="AS67" s="1647" t="str">
        <f t="shared" si="44"/>
        <v>-</v>
      </c>
      <c r="AT67" s="1647">
        <f t="shared" si="49"/>
        <v>0.07</v>
      </c>
      <c r="AU67" s="1215">
        <v>0</v>
      </c>
      <c r="AV67" s="624">
        <v>0</v>
      </c>
      <c r="AW67" s="665" t="s">
        <v>1721</v>
      </c>
      <c r="AX67" s="665" t="s">
        <v>1722</v>
      </c>
      <c r="AY67" s="1697">
        <f t="shared" si="52"/>
        <v>0</v>
      </c>
      <c r="AZ67" s="1699">
        <f t="shared" si="30"/>
        <v>0</v>
      </c>
      <c r="BA67" s="1708">
        <v>50</v>
      </c>
      <c r="BB67" s="1715" t="s">
        <v>1090</v>
      </c>
      <c r="BC67" s="1715">
        <v>1</v>
      </c>
      <c r="BD67" s="1699">
        <v>0</v>
      </c>
      <c r="BE67" s="1745">
        <v>0</v>
      </c>
      <c r="BF67" s="1692"/>
      <c r="BG67" s="1702" t="s">
        <v>2062</v>
      </c>
      <c r="BH67" s="1702" t="s">
        <v>2063</v>
      </c>
      <c r="BI67" s="2084">
        <v>1</v>
      </c>
      <c r="BJ67" s="2183">
        <f t="shared" si="33"/>
        <v>1</v>
      </c>
      <c r="BK67" s="2176">
        <v>1</v>
      </c>
      <c r="BL67" s="2183">
        <v>1</v>
      </c>
      <c r="BM67" s="2085">
        <v>0.5</v>
      </c>
      <c r="BN67" s="2085">
        <v>0.5</v>
      </c>
      <c r="BO67" s="2307">
        <v>0</v>
      </c>
      <c r="BP67" s="2084" t="s">
        <v>1090</v>
      </c>
      <c r="BQ67" s="2178" t="s">
        <v>2662</v>
      </c>
      <c r="BR67" s="1988" t="s">
        <v>2663</v>
      </c>
      <c r="BS67" s="2440">
        <f t="shared" si="51"/>
        <v>1</v>
      </c>
      <c r="BT67" s="2379">
        <f t="shared" si="34"/>
        <v>1</v>
      </c>
      <c r="BU67" s="2383">
        <v>1.2000000000000002</v>
      </c>
      <c r="BV67" s="2379">
        <v>1</v>
      </c>
      <c r="BW67" s="2373">
        <v>0.6000000000000001</v>
      </c>
      <c r="BX67" s="2373">
        <f>BU67/Y67</f>
        <v>0.6000000000000001</v>
      </c>
      <c r="BY67" s="2380"/>
      <c r="BZ67" s="2339"/>
      <c r="CA67" s="2381" t="s">
        <v>2915</v>
      </c>
      <c r="CB67" s="2376" t="s">
        <v>1770</v>
      </c>
    </row>
    <row r="68" spans="1:80" s="49" customFormat="1" ht="150.75" customHeight="1" thickBot="1">
      <c r="A68" s="2655"/>
      <c r="B68" s="2655"/>
      <c r="C68" s="2666"/>
      <c r="D68" s="1205" t="s">
        <v>1723</v>
      </c>
      <c r="E68" s="64" t="s">
        <v>1283</v>
      </c>
      <c r="F68" s="64">
        <v>1</v>
      </c>
      <c r="G68" s="64" t="s">
        <v>1285</v>
      </c>
      <c r="H68" s="65" t="s">
        <v>1543</v>
      </c>
      <c r="I68" s="65">
        <v>4</v>
      </c>
      <c r="J68" s="65" t="s">
        <v>1552</v>
      </c>
      <c r="K68" s="256">
        <v>42019</v>
      </c>
      <c r="L68" s="67">
        <v>42154</v>
      </c>
      <c r="M68" s="69"/>
      <c r="N68" s="70"/>
      <c r="O68" s="70"/>
      <c r="P68" s="70"/>
      <c r="Q68" s="70">
        <v>1</v>
      </c>
      <c r="R68" s="70"/>
      <c r="S68" s="70"/>
      <c r="T68" s="71"/>
      <c r="U68" s="72"/>
      <c r="V68" s="73"/>
      <c r="W68" s="73"/>
      <c r="X68" s="568"/>
      <c r="Y68" s="506">
        <f t="shared" si="25"/>
        <v>1</v>
      </c>
      <c r="Z68" s="75">
        <v>0</v>
      </c>
      <c r="AA68" s="610"/>
      <c r="AB68" s="1240">
        <v>0</v>
      </c>
      <c r="AC68" s="1243">
        <v>0</v>
      </c>
      <c r="AD68" s="719"/>
      <c r="AE68" s="719"/>
      <c r="AF68" s="720"/>
      <c r="AG68" s="720"/>
      <c r="AH68" s="721"/>
      <c r="AI68" s="722"/>
      <c r="AJ68" s="723"/>
      <c r="AK68" s="724"/>
      <c r="AL68" s="725"/>
      <c r="AM68" s="726"/>
      <c r="AN68" s="634">
        <f t="shared" si="26"/>
        <v>0</v>
      </c>
      <c r="AO68" s="645">
        <f t="shared" si="41"/>
        <v>0</v>
      </c>
      <c r="AP68" s="621">
        <f t="shared" si="28"/>
        <v>0</v>
      </c>
      <c r="AQ68" s="645" t="s">
        <v>1090</v>
      </c>
      <c r="AR68" s="622">
        <f t="shared" si="43"/>
        <v>0</v>
      </c>
      <c r="AS68" s="1647" t="str">
        <f t="shared" si="44"/>
        <v>-</v>
      </c>
      <c r="AT68" s="1647">
        <f t="shared" si="49"/>
        <v>0</v>
      </c>
      <c r="AU68" s="1215">
        <v>0</v>
      </c>
      <c r="AV68" s="624">
        <v>0</v>
      </c>
      <c r="AW68" s="665" t="s">
        <v>1724</v>
      </c>
      <c r="AX68" s="665" t="s">
        <v>1725</v>
      </c>
      <c r="AY68" s="1697">
        <f t="shared" si="52"/>
        <v>0</v>
      </c>
      <c r="AZ68" s="1699">
        <f t="shared" si="30"/>
        <v>0</v>
      </c>
      <c r="BA68" s="1708">
        <v>40</v>
      </c>
      <c r="BB68" s="1715" t="s">
        <v>1090</v>
      </c>
      <c r="BC68" s="1715">
        <v>1</v>
      </c>
      <c r="BD68" s="1699">
        <v>0</v>
      </c>
      <c r="BE68" s="1745">
        <v>0</v>
      </c>
      <c r="BF68" s="1692"/>
      <c r="BG68" s="1702" t="s">
        <v>2064</v>
      </c>
      <c r="BH68" s="1702" t="s">
        <v>2065</v>
      </c>
      <c r="BI68" s="2084">
        <v>1</v>
      </c>
      <c r="BJ68" s="2183">
        <f t="shared" si="33"/>
        <v>1</v>
      </c>
      <c r="BK68" s="2177">
        <v>1</v>
      </c>
      <c r="BL68" s="2183">
        <v>1</v>
      </c>
      <c r="BM68" s="2085">
        <v>1</v>
      </c>
      <c r="BN68" s="2085">
        <v>1</v>
      </c>
      <c r="BO68" s="2307">
        <v>0</v>
      </c>
      <c r="BP68" s="2084" t="s">
        <v>1090</v>
      </c>
      <c r="BQ68" s="2178" t="s">
        <v>2664</v>
      </c>
      <c r="BR68" s="1988" t="s">
        <v>2665</v>
      </c>
      <c r="BS68" s="2440">
        <f t="shared" si="51"/>
        <v>1</v>
      </c>
      <c r="BT68" s="2379">
        <f t="shared" si="34"/>
        <v>1</v>
      </c>
      <c r="BU68" s="2384">
        <v>1</v>
      </c>
      <c r="BV68" s="2379">
        <v>1</v>
      </c>
      <c r="BW68" s="2373">
        <v>1</v>
      </c>
      <c r="BX68" s="2373">
        <v>1</v>
      </c>
      <c r="BY68" s="2380"/>
      <c r="BZ68" s="2339"/>
      <c r="CA68" s="2381" t="s">
        <v>2916</v>
      </c>
      <c r="CB68" s="2376" t="s">
        <v>1770</v>
      </c>
    </row>
    <row r="69" spans="1:80" s="49" customFormat="1" ht="132.75" customHeight="1" thickBot="1">
      <c r="A69" s="2655"/>
      <c r="B69" s="2655"/>
      <c r="C69" s="2666"/>
      <c r="D69" s="50" t="s">
        <v>1291</v>
      </c>
      <c r="E69" s="64" t="s">
        <v>1553</v>
      </c>
      <c r="F69" s="64">
        <v>5</v>
      </c>
      <c r="G69" s="64" t="s">
        <v>1292</v>
      </c>
      <c r="H69" s="65" t="s">
        <v>1289</v>
      </c>
      <c r="I69" s="65">
        <v>4</v>
      </c>
      <c r="J69" s="65" t="s">
        <v>1554</v>
      </c>
      <c r="K69" s="256">
        <v>42019</v>
      </c>
      <c r="L69" s="67">
        <v>42353</v>
      </c>
      <c r="M69" s="69"/>
      <c r="N69" s="70"/>
      <c r="O69" s="70"/>
      <c r="P69" s="70"/>
      <c r="Q69" s="70"/>
      <c r="R69" s="70"/>
      <c r="S69" s="70"/>
      <c r="T69" s="71"/>
      <c r="U69" s="72"/>
      <c r="V69" s="73"/>
      <c r="W69" s="73"/>
      <c r="X69" s="568">
        <v>5</v>
      </c>
      <c r="Y69" s="506">
        <f aca="true" t="shared" si="53" ref="Y69">SUM(M69:X69)</f>
        <v>5</v>
      </c>
      <c r="Z69" s="75">
        <v>0</v>
      </c>
      <c r="AA69" s="610"/>
      <c r="AB69" s="1240">
        <v>0</v>
      </c>
      <c r="AC69" s="1243">
        <v>0</v>
      </c>
      <c r="AD69" s="719"/>
      <c r="AE69" s="719"/>
      <c r="AF69" s="720"/>
      <c r="AG69" s="720"/>
      <c r="AH69" s="721"/>
      <c r="AI69" s="722"/>
      <c r="AJ69" s="723"/>
      <c r="AK69" s="724"/>
      <c r="AL69" s="725"/>
      <c r="AM69" s="726"/>
      <c r="AN69" s="634">
        <f t="shared" si="26"/>
        <v>0</v>
      </c>
      <c r="AO69" s="645">
        <f t="shared" si="41"/>
        <v>0</v>
      </c>
      <c r="AP69" s="621">
        <f t="shared" si="28"/>
        <v>0</v>
      </c>
      <c r="AQ69" s="645" t="s">
        <v>1090</v>
      </c>
      <c r="AR69" s="622">
        <f t="shared" si="43"/>
        <v>0</v>
      </c>
      <c r="AS69" s="1647" t="str">
        <f t="shared" si="44"/>
        <v>-</v>
      </c>
      <c r="AT69" s="1647">
        <f t="shared" si="49"/>
        <v>0</v>
      </c>
      <c r="AU69" s="1215">
        <v>0</v>
      </c>
      <c r="AV69" s="624">
        <v>0</v>
      </c>
      <c r="AW69" s="665" t="s">
        <v>1726</v>
      </c>
      <c r="AX69" s="665"/>
      <c r="AY69" s="1697">
        <f t="shared" si="52"/>
        <v>0</v>
      </c>
      <c r="AZ69" s="1699">
        <f t="shared" si="30"/>
        <v>0</v>
      </c>
      <c r="BA69" s="1708">
        <v>0</v>
      </c>
      <c r="BB69" s="1715" t="s">
        <v>1090</v>
      </c>
      <c r="BC69" s="1715">
        <f aca="true" t="shared" si="54" ref="BC69:BC79">BA69/Y69</f>
        <v>0</v>
      </c>
      <c r="BD69" s="1699">
        <v>0</v>
      </c>
      <c r="BE69" s="1745">
        <v>0</v>
      </c>
      <c r="BF69" s="1692"/>
      <c r="BG69" s="1702" t="s">
        <v>2066</v>
      </c>
      <c r="BH69" s="1702" t="s">
        <v>1770</v>
      </c>
      <c r="BI69" s="2084">
        <v>0</v>
      </c>
      <c r="BJ69" s="2183">
        <f t="shared" si="33"/>
        <v>0</v>
      </c>
      <c r="BK69" s="2176">
        <v>0</v>
      </c>
      <c r="BL69" s="2183" t="s">
        <v>1090</v>
      </c>
      <c r="BM69" s="2085">
        <v>0</v>
      </c>
      <c r="BN69" s="2085">
        <v>0</v>
      </c>
      <c r="BO69" s="2307">
        <v>0</v>
      </c>
      <c r="BP69" s="2084" t="s">
        <v>1090</v>
      </c>
      <c r="BQ69" s="2178" t="s">
        <v>2066</v>
      </c>
      <c r="BR69" s="1988"/>
      <c r="BS69" s="2439">
        <f t="shared" si="51"/>
        <v>0</v>
      </c>
      <c r="BT69" s="2379">
        <f t="shared" si="34"/>
        <v>0</v>
      </c>
      <c r="BU69" s="2383">
        <v>0</v>
      </c>
      <c r="BV69" s="2379" t="s">
        <v>1090</v>
      </c>
      <c r="BW69" s="2373">
        <v>0</v>
      </c>
      <c r="BX69" s="2373">
        <v>0</v>
      </c>
      <c r="BY69" s="2380"/>
      <c r="BZ69" s="2339"/>
      <c r="CA69" s="2381" t="s">
        <v>2917</v>
      </c>
      <c r="CB69" s="2376" t="s">
        <v>1770</v>
      </c>
    </row>
    <row r="70" spans="1:80" s="49" customFormat="1" ht="213" customHeight="1" thickBot="1">
      <c r="A70" s="2655"/>
      <c r="B70" s="2655"/>
      <c r="C70" s="2666"/>
      <c r="D70" s="2701" t="s">
        <v>1727</v>
      </c>
      <c r="E70" s="64" t="s">
        <v>1290</v>
      </c>
      <c r="F70" s="64">
        <v>40</v>
      </c>
      <c r="G70" s="64" t="s">
        <v>1288</v>
      </c>
      <c r="H70" s="65" t="s">
        <v>1289</v>
      </c>
      <c r="I70" s="65">
        <v>3</v>
      </c>
      <c r="J70" s="65" t="s">
        <v>1555</v>
      </c>
      <c r="K70" s="256">
        <v>42019</v>
      </c>
      <c r="L70" s="67">
        <v>42355</v>
      </c>
      <c r="M70" s="69"/>
      <c r="N70" s="70"/>
      <c r="O70" s="70"/>
      <c r="P70" s="70"/>
      <c r="Q70" s="70"/>
      <c r="R70" s="70"/>
      <c r="S70" s="70"/>
      <c r="T70" s="71"/>
      <c r="U70" s="72"/>
      <c r="V70" s="73">
        <v>40</v>
      </c>
      <c r="W70" s="73"/>
      <c r="X70" s="568"/>
      <c r="Y70" s="506">
        <f t="shared" si="25"/>
        <v>40</v>
      </c>
      <c r="Z70" s="75">
        <v>0</v>
      </c>
      <c r="AA70" s="610"/>
      <c r="AB70" s="1240">
        <v>0</v>
      </c>
      <c r="AC70" s="1243">
        <v>0</v>
      </c>
      <c r="AD70" s="719"/>
      <c r="AE70" s="719"/>
      <c r="AF70" s="720"/>
      <c r="AG70" s="720"/>
      <c r="AH70" s="721"/>
      <c r="AI70" s="722"/>
      <c r="AJ70" s="723"/>
      <c r="AK70" s="724"/>
      <c r="AL70" s="725"/>
      <c r="AM70" s="726"/>
      <c r="AN70" s="634">
        <f t="shared" si="26"/>
        <v>0</v>
      </c>
      <c r="AO70" s="645">
        <f t="shared" si="41"/>
        <v>0</v>
      </c>
      <c r="AP70" s="621">
        <f t="shared" si="28"/>
        <v>0</v>
      </c>
      <c r="AQ70" s="645" t="s">
        <v>1090</v>
      </c>
      <c r="AR70" s="622">
        <f t="shared" si="43"/>
        <v>0</v>
      </c>
      <c r="AS70" s="1647" t="str">
        <f t="shared" si="44"/>
        <v>-</v>
      </c>
      <c r="AT70" s="1647">
        <f t="shared" si="49"/>
        <v>0</v>
      </c>
      <c r="AU70" s="1215">
        <v>0</v>
      </c>
      <c r="AV70" s="624">
        <v>0</v>
      </c>
      <c r="AW70" s="665" t="s">
        <v>1728</v>
      </c>
      <c r="AX70" s="665" t="s">
        <v>1729</v>
      </c>
      <c r="AY70" s="1697">
        <f t="shared" si="52"/>
        <v>0</v>
      </c>
      <c r="AZ70" s="1699">
        <f t="shared" si="30"/>
        <v>0</v>
      </c>
      <c r="BA70" s="1708">
        <v>34</v>
      </c>
      <c r="BB70" s="1715" t="s">
        <v>1090</v>
      </c>
      <c r="BC70" s="1715">
        <f t="shared" si="54"/>
        <v>0.85</v>
      </c>
      <c r="BD70" s="1699">
        <v>0</v>
      </c>
      <c r="BE70" s="1745">
        <v>0</v>
      </c>
      <c r="BF70" s="1692"/>
      <c r="BG70" s="2683" t="s">
        <v>2067</v>
      </c>
      <c r="BH70" s="1702" t="s">
        <v>1770</v>
      </c>
      <c r="BI70" s="2084">
        <v>0</v>
      </c>
      <c r="BJ70" s="2183">
        <f t="shared" si="33"/>
        <v>0</v>
      </c>
      <c r="BK70" s="2176">
        <v>42</v>
      </c>
      <c r="BL70" s="2183">
        <v>1</v>
      </c>
      <c r="BM70" s="2085">
        <v>1</v>
      </c>
      <c r="BN70" s="2085">
        <v>1</v>
      </c>
      <c r="BO70" s="2307">
        <v>0</v>
      </c>
      <c r="BP70" s="2084" t="s">
        <v>1090</v>
      </c>
      <c r="BQ70" s="2675" t="s">
        <v>2666</v>
      </c>
      <c r="BR70" s="2677" t="s">
        <v>2667</v>
      </c>
      <c r="BS70" s="2382">
        <f t="shared" si="51"/>
        <v>0</v>
      </c>
      <c r="BT70" s="2379">
        <f t="shared" si="34"/>
        <v>0</v>
      </c>
      <c r="BU70" s="2383">
        <v>42</v>
      </c>
      <c r="BV70" s="2379">
        <v>1</v>
      </c>
      <c r="BW70" s="2373">
        <v>1</v>
      </c>
      <c r="BX70" s="2373">
        <v>1</v>
      </c>
      <c r="BY70" s="2380"/>
      <c r="BZ70" s="2339"/>
      <c r="CA70" s="2723" t="s">
        <v>2918</v>
      </c>
      <c r="CB70" s="2725" t="s">
        <v>2919</v>
      </c>
    </row>
    <row r="71" spans="1:80" s="49" customFormat="1" ht="143.25" customHeight="1" thickBot="1">
      <c r="A71" s="2655"/>
      <c r="B71" s="2655"/>
      <c r="C71" s="2666"/>
      <c r="D71" s="2702"/>
      <c r="E71" s="64" t="s">
        <v>1730</v>
      </c>
      <c r="F71" s="64">
        <v>40</v>
      </c>
      <c r="G71" s="64" t="s">
        <v>1731</v>
      </c>
      <c r="H71" s="65" t="s">
        <v>1289</v>
      </c>
      <c r="I71" s="65">
        <v>3</v>
      </c>
      <c r="J71" s="65" t="s">
        <v>1544</v>
      </c>
      <c r="K71" s="256">
        <v>42019</v>
      </c>
      <c r="L71" s="67">
        <v>42355</v>
      </c>
      <c r="M71" s="69"/>
      <c r="N71" s="70"/>
      <c r="O71" s="70"/>
      <c r="P71" s="70"/>
      <c r="Q71" s="70"/>
      <c r="R71" s="70"/>
      <c r="S71" s="70"/>
      <c r="T71" s="71"/>
      <c r="U71" s="72"/>
      <c r="V71" s="73"/>
      <c r="W71" s="73"/>
      <c r="X71" s="568">
        <v>40</v>
      </c>
      <c r="Y71" s="506">
        <f t="shared" si="25"/>
        <v>40</v>
      </c>
      <c r="Z71" s="608">
        <v>10000000</v>
      </c>
      <c r="AA71" s="610"/>
      <c r="AB71" s="1240">
        <v>0</v>
      </c>
      <c r="AC71" s="1243">
        <v>0</v>
      </c>
      <c r="AD71" s="719"/>
      <c r="AE71" s="719"/>
      <c r="AF71" s="720"/>
      <c r="AG71" s="720"/>
      <c r="AH71" s="721"/>
      <c r="AI71" s="722"/>
      <c r="AJ71" s="723"/>
      <c r="AK71" s="724"/>
      <c r="AL71" s="725"/>
      <c r="AM71" s="726"/>
      <c r="AN71" s="634">
        <f t="shared" si="26"/>
        <v>0</v>
      </c>
      <c r="AO71" s="645">
        <f t="shared" si="41"/>
        <v>0</v>
      </c>
      <c r="AP71" s="621">
        <f t="shared" si="28"/>
        <v>0</v>
      </c>
      <c r="AQ71" s="645" t="s">
        <v>1090</v>
      </c>
      <c r="AR71" s="622">
        <f t="shared" si="43"/>
        <v>0</v>
      </c>
      <c r="AS71" s="1647" t="str">
        <f t="shared" si="44"/>
        <v>-</v>
      </c>
      <c r="AT71" s="1647">
        <f t="shared" si="49"/>
        <v>0</v>
      </c>
      <c r="AU71" s="1215">
        <v>0</v>
      </c>
      <c r="AV71" s="624">
        <v>0</v>
      </c>
      <c r="AW71" s="665" t="s">
        <v>1732</v>
      </c>
      <c r="AX71" s="665" t="s">
        <v>1733</v>
      </c>
      <c r="AY71" s="1697">
        <f t="shared" si="52"/>
        <v>0</v>
      </c>
      <c r="AZ71" s="1699">
        <f t="shared" si="30"/>
        <v>0</v>
      </c>
      <c r="BA71" s="1708">
        <v>0</v>
      </c>
      <c r="BB71" s="1715" t="s">
        <v>1090</v>
      </c>
      <c r="BC71" s="1715">
        <f t="shared" si="54"/>
        <v>0</v>
      </c>
      <c r="BD71" s="1699">
        <v>0</v>
      </c>
      <c r="BE71" s="1745">
        <v>0</v>
      </c>
      <c r="BF71" s="1692"/>
      <c r="BG71" s="2684"/>
      <c r="BH71" s="1704" t="s">
        <v>2068</v>
      </c>
      <c r="BI71" s="2084">
        <v>0</v>
      </c>
      <c r="BJ71" s="2183">
        <f t="shared" si="33"/>
        <v>0</v>
      </c>
      <c r="BK71" s="2176">
        <v>0</v>
      </c>
      <c r="BL71" s="2183" t="s">
        <v>1090</v>
      </c>
      <c r="BM71" s="2085">
        <v>0</v>
      </c>
      <c r="BN71" s="2085">
        <v>0</v>
      </c>
      <c r="BO71" s="2307">
        <v>0</v>
      </c>
      <c r="BP71" s="2084" t="s">
        <v>1090</v>
      </c>
      <c r="BQ71" s="2676"/>
      <c r="BR71" s="2678"/>
      <c r="BS71" s="2382">
        <f t="shared" si="51"/>
        <v>0</v>
      </c>
      <c r="BT71" s="2379">
        <f t="shared" si="34"/>
        <v>0</v>
      </c>
      <c r="BU71" s="2383">
        <v>13</v>
      </c>
      <c r="BV71" s="2379" t="s">
        <v>1090</v>
      </c>
      <c r="BW71" s="2373">
        <v>0.325</v>
      </c>
      <c r="BX71" s="2373">
        <f>BU71/Y71</f>
        <v>0.325</v>
      </c>
      <c r="BY71" s="2380"/>
      <c r="BZ71" s="2339"/>
      <c r="CA71" s="2724"/>
      <c r="CB71" s="2726"/>
    </row>
    <row r="72" spans="1:80" s="49" customFormat="1" ht="96.75" thickBot="1">
      <c r="A72" s="2655"/>
      <c r="B72" s="2655"/>
      <c r="C72" s="2694"/>
      <c r="D72" s="254" t="s">
        <v>1293</v>
      </c>
      <c r="E72" s="64" t="s">
        <v>1556</v>
      </c>
      <c r="F72" s="64">
        <v>5</v>
      </c>
      <c r="G72" s="64" t="s">
        <v>1734</v>
      </c>
      <c r="H72" s="65" t="s">
        <v>1289</v>
      </c>
      <c r="I72" s="65">
        <v>4</v>
      </c>
      <c r="J72" s="65" t="s">
        <v>1544</v>
      </c>
      <c r="K72" s="256">
        <v>42019</v>
      </c>
      <c r="L72" s="67">
        <v>42353</v>
      </c>
      <c r="M72" s="69"/>
      <c r="N72" s="70"/>
      <c r="O72" s="70"/>
      <c r="P72" s="70"/>
      <c r="Q72" s="70"/>
      <c r="R72" s="70"/>
      <c r="S72" s="70"/>
      <c r="T72" s="71"/>
      <c r="U72" s="72"/>
      <c r="V72" s="73"/>
      <c r="W72" s="73"/>
      <c r="X72" s="568">
        <v>5</v>
      </c>
      <c r="Y72" s="506">
        <f t="shared" si="25"/>
        <v>5</v>
      </c>
      <c r="Z72" s="608">
        <v>2000000</v>
      </c>
      <c r="AA72" s="610"/>
      <c r="AB72" s="1240">
        <v>0</v>
      </c>
      <c r="AC72" s="1243">
        <v>0</v>
      </c>
      <c r="AD72" s="719"/>
      <c r="AE72" s="719"/>
      <c r="AF72" s="720"/>
      <c r="AG72" s="720"/>
      <c r="AH72" s="721"/>
      <c r="AI72" s="722"/>
      <c r="AJ72" s="723"/>
      <c r="AK72" s="724"/>
      <c r="AL72" s="725"/>
      <c r="AM72" s="726"/>
      <c r="AN72" s="634">
        <f t="shared" si="26"/>
        <v>0</v>
      </c>
      <c r="AO72" s="645">
        <f t="shared" si="41"/>
        <v>0</v>
      </c>
      <c r="AP72" s="621">
        <f t="shared" si="28"/>
        <v>0</v>
      </c>
      <c r="AQ72" s="645" t="s">
        <v>1090</v>
      </c>
      <c r="AR72" s="622">
        <f t="shared" si="43"/>
        <v>0</v>
      </c>
      <c r="AS72" s="1647" t="str">
        <f t="shared" si="44"/>
        <v>-</v>
      </c>
      <c r="AT72" s="1647">
        <f t="shared" si="49"/>
        <v>0</v>
      </c>
      <c r="AU72" s="1215">
        <v>0</v>
      </c>
      <c r="AV72" s="624">
        <v>0</v>
      </c>
      <c r="AW72" s="665" t="s">
        <v>1735</v>
      </c>
      <c r="AX72" s="665" t="s">
        <v>1736</v>
      </c>
      <c r="AY72" s="1697">
        <f t="shared" si="52"/>
        <v>0</v>
      </c>
      <c r="AZ72" s="1699">
        <f t="shared" si="30"/>
        <v>0</v>
      </c>
      <c r="BA72" s="1708">
        <v>0</v>
      </c>
      <c r="BB72" s="1715" t="s">
        <v>1090</v>
      </c>
      <c r="BC72" s="1715">
        <f t="shared" si="54"/>
        <v>0</v>
      </c>
      <c r="BD72" s="1699">
        <v>0</v>
      </c>
      <c r="BE72" s="1745">
        <v>0</v>
      </c>
      <c r="BF72" s="1692"/>
      <c r="BG72" s="1702" t="s">
        <v>2069</v>
      </c>
      <c r="BH72" s="1702" t="s">
        <v>1770</v>
      </c>
      <c r="BI72" s="2084">
        <v>0</v>
      </c>
      <c r="BJ72" s="2183">
        <f t="shared" si="33"/>
        <v>0</v>
      </c>
      <c r="BK72" s="2176">
        <v>0</v>
      </c>
      <c r="BL72" s="2183" t="s">
        <v>1090</v>
      </c>
      <c r="BM72" s="2085">
        <v>0</v>
      </c>
      <c r="BN72" s="2085">
        <v>0</v>
      </c>
      <c r="BO72" s="2307">
        <v>0</v>
      </c>
      <c r="BP72" s="2084" t="s">
        <v>1090</v>
      </c>
      <c r="BQ72" s="2178" t="s">
        <v>2668</v>
      </c>
      <c r="BR72" s="1988"/>
      <c r="BS72" s="2382">
        <f t="shared" si="51"/>
        <v>0</v>
      </c>
      <c r="BT72" s="2379">
        <f t="shared" si="34"/>
        <v>0</v>
      </c>
      <c r="BU72" s="2383">
        <v>0</v>
      </c>
      <c r="BV72" s="2379" t="s">
        <v>1090</v>
      </c>
      <c r="BW72" s="2373">
        <v>0</v>
      </c>
      <c r="BX72" s="2373">
        <v>0</v>
      </c>
      <c r="BY72" s="2380"/>
      <c r="BZ72" s="2339"/>
      <c r="CA72" s="2381" t="s">
        <v>2920</v>
      </c>
      <c r="CB72" s="2376" t="s">
        <v>1770</v>
      </c>
    </row>
    <row r="73" spans="1:80" s="49" customFormat="1" ht="126.75" customHeight="1" thickBot="1">
      <c r="A73" s="2655"/>
      <c r="B73" s="2655"/>
      <c r="C73" s="1196" t="s">
        <v>1737</v>
      </c>
      <c r="D73" s="254" t="s">
        <v>1303</v>
      </c>
      <c r="E73" s="64" t="s">
        <v>1304</v>
      </c>
      <c r="F73" s="64">
        <v>100</v>
      </c>
      <c r="G73" s="64" t="s">
        <v>1305</v>
      </c>
      <c r="H73" s="65" t="s">
        <v>1306</v>
      </c>
      <c r="I73" s="65">
        <v>4</v>
      </c>
      <c r="J73" s="65" t="s">
        <v>1557</v>
      </c>
      <c r="K73" s="256">
        <v>42019</v>
      </c>
      <c r="L73" s="67">
        <v>42353</v>
      </c>
      <c r="M73" s="80"/>
      <c r="N73" s="572">
        <v>0.1</v>
      </c>
      <c r="O73" s="572">
        <v>0.1</v>
      </c>
      <c r="P73" s="572">
        <v>0.1</v>
      </c>
      <c r="Q73" s="572">
        <v>0.1</v>
      </c>
      <c r="R73" s="572">
        <v>0.1</v>
      </c>
      <c r="S73" s="572">
        <v>0.1</v>
      </c>
      <c r="T73" s="572">
        <v>0.1</v>
      </c>
      <c r="U73" s="569">
        <v>0.1</v>
      </c>
      <c r="V73" s="569">
        <v>0.1</v>
      </c>
      <c r="W73" s="569">
        <v>0.1</v>
      </c>
      <c r="X73" s="569"/>
      <c r="Y73" s="573">
        <f t="shared" si="25"/>
        <v>0.9999999999999999</v>
      </c>
      <c r="Z73" s="75">
        <v>0</v>
      </c>
      <c r="AA73" s="610"/>
      <c r="AB73" s="1241">
        <v>0</v>
      </c>
      <c r="AC73" s="1241">
        <v>0.03</v>
      </c>
      <c r="AD73" s="711"/>
      <c r="AE73" s="711"/>
      <c r="AF73" s="712"/>
      <c r="AG73" s="712"/>
      <c r="AH73" s="713"/>
      <c r="AI73" s="713"/>
      <c r="AJ73" s="716"/>
      <c r="AK73" s="716"/>
      <c r="AL73" s="717"/>
      <c r="AM73" s="717"/>
      <c r="AN73" s="645">
        <f t="shared" si="26"/>
        <v>0.1</v>
      </c>
      <c r="AO73" s="645">
        <f t="shared" si="41"/>
        <v>1</v>
      </c>
      <c r="AP73" s="1218">
        <f t="shared" si="28"/>
        <v>0.03</v>
      </c>
      <c r="AQ73" s="645">
        <f t="shared" si="42"/>
        <v>0.3</v>
      </c>
      <c r="AR73" s="622">
        <f t="shared" si="43"/>
        <v>0.030000000000000002</v>
      </c>
      <c r="AS73" s="1647">
        <f t="shared" si="44"/>
        <v>0.3</v>
      </c>
      <c r="AT73" s="1647">
        <f t="shared" si="49"/>
        <v>0.030000000000000002</v>
      </c>
      <c r="AU73" s="1215">
        <v>0</v>
      </c>
      <c r="AV73" s="624">
        <v>0</v>
      </c>
      <c r="AW73" s="665" t="s">
        <v>1738</v>
      </c>
      <c r="AX73" s="665"/>
      <c r="AY73" s="1699">
        <f t="shared" si="52"/>
        <v>0.30000000000000004</v>
      </c>
      <c r="AZ73" s="1699">
        <f t="shared" si="30"/>
        <v>1</v>
      </c>
      <c r="BA73" s="1709">
        <v>0.3</v>
      </c>
      <c r="BB73" s="1715">
        <f t="shared" si="46"/>
        <v>0.9999999999999998</v>
      </c>
      <c r="BC73" s="1715">
        <f t="shared" si="54"/>
        <v>0.30000000000000004</v>
      </c>
      <c r="BD73" s="1699">
        <f t="shared" si="32"/>
        <v>0.9999999999999998</v>
      </c>
      <c r="BE73" s="1745">
        <v>0</v>
      </c>
      <c r="BF73" s="1692"/>
      <c r="BG73" s="1702" t="s">
        <v>2070</v>
      </c>
      <c r="BH73" s="1702" t="s">
        <v>1770</v>
      </c>
      <c r="BI73" s="2084">
        <v>0.5</v>
      </c>
      <c r="BJ73" s="2183">
        <f t="shared" si="33"/>
        <v>1</v>
      </c>
      <c r="BK73" s="2177">
        <v>0.5</v>
      </c>
      <c r="BL73" s="2183">
        <v>1</v>
      </c>
      <c r="BM73" s="2085">
        <v>0.5</v>
      </c>
      <c r="BN73" s="2085">
        <v>0.5</v>
      </c>
      <c r="BO73" s="2307">
        <v>0</v>
      </c>
      <c r="BP73" s="2084" t="s">
        <v>1090</v>
      </c>
      <c r="BQ73" s="2178" t="s">
        <v>2669</v>
      </c>
      <c r="BR73" s="1988"/>
      <c r="BS73" s="2382">
        <f t="shared" si="51"/>
        <v>0.7</v>
      </c>
      <c r="BT73" s="2379">
        <f t="shared" si="34"/>
        <v>1</v>
      </c>
      <c r="BU73" s="2384">
        <v>0.7</v>
      </c>
      <c r="BV73" s="2379">
        <v>1</v>
      </c>
      <c r="BW73" s="2373">
        <v>0.7000000000000001</v>
      </c>
      <c r="BX73" s="2373">
        <f>BU73/Y73</f>
        <v>0.7000000000000001</v>
      </c>
      <c r="BY73" s="2380"/>
      <c r="BZ73" s="2339"/>
      <c r="CA73" s="2381" t="s">
        <v>2921</v>
      </c>
      <c r="CB73" s="2376" t="s">
        <v>2922</v>
      </c>
    </row>
    <row r="74" spans="1:80" s="49" customFormat="1" ht="129" customHeight="1" thickBot="1">
      <c r="A74" s="2655"/>
      <c r="B74" s="2655"/>
      <c r="C74" s="2703" t="s">
        <v>1307</v>
      </c>
      <c r="D74" s="1203" t="s">
        <v>1308</v>
      </c>
      <c r="E74" s="38" t="s">
        <v>62</v>
      </c>
      <c r="F74" s="111">
        <v>100</v>
      </c>
      <c r="G74" s="208" t="s">
        <v>1739</v>
      </c>
      <c r="H74" s="40" t="s">
        <v>1309</v>
      </c>
      <c r="I74" s="65">
        <v>4</v>
      </c>
      <c r="J74" s="42" t="s">
        <v>1310</v>
      </c>
      <c r="K74" s="574">
        <v>42019</v>
      </c>
      <c r="L74" s="43">
        <v>42353</v>
      </c>
      <c r="M74" s="44"/>
      <c r="N74" s="575">
        <v>0.1</v>
      </c>
      <c r="O74" s="575">
        <v>0.1</v>
      </c>
      <c r="P74" s="575">
        <v>0.1</v>
      </c>
      <c r="Q74" s="575">
        <v>0.1</v>
      </c>
      <c r="R74" s="575">
        <v>0.1</v>
      </c>
      <c r="S74" s="575">
        <v>0.1</v>
      </c>
      <c r="T74" s="575">
        <v>0.1</v>
      </c>
      <c r="U74" s="575">
        <v>0.1</v>
      </c>
      <c r="V74" s="575">
        <v>0.1</v>
      </c>
      <c r="W74" s="575">
        <v>0.1</v>
      </c>
      <c r="X74" s="575"/>
      <c r="Y74" s="573">
        <f t="shared" si="25"/>
        <v>0.9999999999999999</v>
      </c>
      <c r="Z74" s="75">
        <v>75000000</v>
      </c>
      <c r="AA74" s="610"/>
      <c r="AB74" s="1241">
        <v>0</v>
      </c>
      <c r="AC74" s="1241">
        <v>0.1</v>
      </c>
      <c r="AD74" s="727"/>
      <c r="AE74" s="727"/>
      <c r="AF74" s="728"/>
      <c r="AG74" s="728"/>
      <c r="AH74" s="729"/>
      <c r="AI74" s="729"/>
      <c r="AJ74" s="730"/>
      <c r="AK74" s="730"/>
      <c r="AL74" s="731"/>
      <c r="AM74" s="731"/>
      <c r="AN74" s="645">
        <f t="shared" si="26"/>
        <v>0.1</v>
      </c>
      <c r="AO74" s="645">
        <f t="shared" si="41"/>
        <v>1</v>
      </c>
      <c r="AP74" s="632">
        <f t="shared" si="28"/>
        <v>0.1</v>
      </c>
      <c r="AQ74" s="645">
        <f t="shared" si="42"/>
        <v>1</v>
      </c>
      <c r="AR74" s="622">
        <f t="shared" si="43"/>
        <v>0.10000000000000002</v>
      </c>
      <c r="AS74" s="1647">
        <f t="shared" si="44"/>
        <v>1</v>
      </c>
      <c r="AT74" s="1647">
        <f t="shared" si="49"/>
        <v>0.10000000000000002</v>
      </c>
      <c r="AU74" s="1215">
        <v>0</v>
      </c>
      <c r="AV74" s="624">
        <v>0</v>
      </c>
      <c r="AW74" s="732" t="s">
        <v>1740</v>
      </c>
      <c r="AX74" s="665"/>
      <c r="AY74" s="1699">
        <f t="shared" si="52"/>
        <v>0.30000000000000004</v>
      </c>
      <c r="AZ74" s="1699">
        <f t="shared" si="30"/>
        <v>1</v>
      </c>
      <c r="BA74" s="1709">
        <v>0.3</v>
      </c>
      <c r="BB74" s="1715">
        <f t="shared" si="46"/>
        <v>0.9999999999999998</v>
      </c>
      <c r="BC74" s="1715">
        <f t="shared" si="54"/>
        <v>0.30000000000000004</v>
      </c>
      <c r="BD74" s="1699">
        <f t="shared" si="32"/>
        <v>0.9999999999999998</v>
      </c>
      <c r="BE74" s="1745">
        <v>0</v>
      </c>
      <c r="BF74" s="1692"/>
      <c r="BG74" s="1702" t="s">
        <v>2071</v>
      </c>
      <c r="BH74" s="1702" t="s">
        <v>2072</v>
      </c>
      <c r="BI74" s="2084">
        <v>0.5</v>
      </c>
      <c r="BJ74" s="2183">
        <f t="shared" si="33"/>
        <v>1</v>
      </c>
      <c r="BK74" s="2177">
        <v>0.5</v>
      </c>
      <c r="BL74" s="2183">
        <v>1</v>
      </c>
      <c r="BM74" s="2085">
        <v>0.5</v>
      </c>
      <c r="BN74" s="2085">
        <v>0.5</v>
      </c>
      <c r="BO74" s="2307">
        <v>0</v>
      </c>
      <c r="BP74" s="2084" t="s">
        <v>1090</v>
      </c>
      <c r="BQ74" s="2178" t="s">
        <v>2670</v>
      </c>
      <c r="BR74" s="1988" t="s">
        <v>2671</v>
      </c>
      <c r="BS74" s="2382">
        <f t="shared" si="51"/>
        <v>0.7</v>
      </c>
      <c r="BT74" s="2379">
        <f t="shared" si="34"/>
        <v>1</v>
      </c>
      <c r="BU74" s="2384">
        <v>0.7</v>
      </c>
      <c r="BV74" s="2379">
        <v>1</v>
      </c>
      <c r="BW74" s="2373">
        <v>0.7000000000000001</v>
      </c>
      <c r="BX74" s="2373">
        <f>BU74/Y74</f>
        <v>0.7000000000000001</v>
      </c>
      <c r="BY74" s="2380"/>
      <c r="BZ74" s="2339"/>
      <c r="CA74" s="2381" t="s">
        <v>2923</v>
      </c>
      <c r="CB74" s="2376" t="s">
        <v>2924</v>
      </c>
    </row>
    <row r="75" spans="1:80" s="49" customFormat="1" ht="221.25" customHeight="1" thickBot="1">
      <c r="A75" s="2655"/>
      <c r="B75" s="2655"/>
      <c r="C75" s="2704"/>
      <c r="D75" s="107" t="s">
        <v>1741</v>
      </c>
      <c r="E75" s="108" t="s">
        <v>1319</v>
      </c>
      <c r="F75" s="215">
        <v>11</v>
      </c>
      <c r="G75" s="216" t="s">
        <v>1742</v>
      </c>
      <c r="H75" s="40" t="s">
        <v>1309</v>
      </c>
      <c r="I75" s="65">
        <v>4</v>
      </c>
      <c r="J75" s="55" t="s">
        <v>1311</v>
      </c>
      <c r="K75" s="576">
        <v>42019</v>
      </c>
      <c r="L75" s="56">
        <v>42353</v>
      </c>
      <c r="M75" s="410"/>
      <c r="N75" s="577">
        <v>1</v>
      </c>
      <c r="O75" s="577">
        <v>1</v>
      </c>
      <c r="P75" s="577">
        <v>1</v>
      </c>
      <c r="Q75" s="577">
        <v>1</v>
      </c>
      <c r="R75" s="577">
        <v>1</v>
      </c>
      <c r="S75" s="577">
        <v>1</v>
      </c>
      <c r="T75" s="577">
        <v>1</v>
      </c>
      <c r="U75" s="577">
        <v>1</v>
      </c>
      <c r="V75" s="577">
        <v>1</v>
      </c>
      <c r="W75" s="577">
        <v>1</v>
      </c>
      <c r="X75" s="577">
        <v>1</v>
      </c>
      <c r="Y75" s="506">
        <f t="shared" si="25"/>
        <v>11</v>
      </c>
      <c r="Z75" s="75">
        <v>0</v>
      </c>
      <c r="AA75" s="97"/>
      <c r="AB75" s="1244">
        <v>0</v>
      </c>
      <c r="AC75" s="1245">
        <v>1</v>
      </c>
      <c r="AD75" s="733"/>
      <c r="AE75" s="733"/>
      <c r="AF75" s="734"/>
      <c r="AG75" s="734"/>
      <c r="AH75" s="735"/>
      <c r="AI75" s="735"/>
      <c r="AJ75" s="736"/>
      <c r="AK75" s="736"/>
      <c r="AL75" s="737"/>
      <c r="AM75" s="737"/>
      <c r="AN75" s="634">
        <f t="shared" si="26"/>
        <v>1</v>
      </c>
      <c r="AO75" s="645">
        <f t="shared" si="41"/>
        <v>1</v>
      </c>
      <c r="AP75" s="621">
        <f t="shared" si="28"/>
        <v>1</v>
      </c>
      <c r="AQ75" s="645">
        <f t="shared" si="42"/>
        <v>1</v>
      </c>
      <c r="AR75" s="622">
        <f t="shared" si="43"/>
        <v>0.09090909090909091</v>
      </c>
      <c r="AS75" s="1647">
        <f t="shared" si="44"/>
        <v>1</v>
      </c>
      <c r="AT75" s="1647">
        <f t="shared" si="49"/>
        <v>0.09090909090909091</v>
      </c>
      <c r="AU75" s="1215">
        <v>0</v>
      </c>
      <c r="AV75" s="624">
        <v>0</v>
      </c>
      <c r="AW75" s="665" t="s">
        <v>1743</v>
      </c>
      <c r="AX75" s="665"/>
      <c r="AY75" s="1697">
        <f t="shared" si="52"/>
        <v>3</v>
      </c>
      <c r="AZ75" s="1699">
        <f t="shared" si="30"/>
        <v>1</v>
      </c>
      <c r="BA75" s="1708">
        <v>6</v>
      </c>
      <c r="BB75" s="1715">
        <v>1</v>
      </c>
      <c r="BC75" s="1715">
        <f t="shared" si="54"/>
        <v>0.5454545454545454</v>
      </c>
      <c r="BD75" s="1699">
        <f t="shared" si="32"/>
        <v>1</v>
      </c>
      <c r="BE75" s="1745">
        <v>0</v>
      </c>
      <c r="BF75" s="1692"/>
      <c r="BG75" s="1702" t="s">
        <v>2073</v>
      </c>
      <c r="BH75" s="1702" t="s">
        <v>1770</v>
      </c>
      <c r="BI75" s="2084">
        <v>5</v>
      </c>
      <c r="BJ75" s="2183">
        <f t="shared" si="33"/>
        <v>1</v>
      </c>
      <c r="BK75" s="2176">
        <v>11</v>
      </c>
      <c r="BL75" s="2183">
        <v>1</v>
      </c>
      <c r="BM75" s="2085">
        <v>1</v>
      </c>
      <c r="BN75" s="2085">
        <v>1</v>
      </c>
      <c r="BO75" s="2307">
        <v>0</v>
      </c>
      <c r="BP75" s="2084" t="s">
        <v>1090</v>
      </c>
      <c r="BQ75" s="2178" t="s">
        <v>2672</v>
      </c>
      <c r="BR75" s="1988"/>
      <c r="BS75" s="2440">
        <f t="shared" si="51"/>
        <v>7</v>
      </c>
      <c r="BT75" s="2379">
        <f t="shared" si="34"/>
        <v>1</v>
      </c>
      <c r="BU75" s="2383">
        <v>14</v>
      </c>
      <c r="BV75" s="2379">
        <v>1</v>
      </c>
      <c r="BW75" s="2373">
        <v>1</v>
      </c>
      <c r="BX75" s="2373">
        <v>1</v>
      </c>
      <c r="BY75" s="2380"/>
      <c r="BZ75" s="2339"/>
      <c r="CA75" s="2381" t="s">
        <v>2925</v>
      </c>
      <c r="CB75" s="2376" t="s">
        <v>1770</v>
      </c>
    </row>
    <row r="76" spans="1:80" s="49" customFormat="1" ht="366" customHeight="1" thickBot="1">
      <c r="A76" s="2655"/>
      <c r="B76" s="2655"/>
      <c r="C76" s="2703" t="s">
        <v>1312</v>
      </c>
      <c r="D76" s="250" t="s">
        <v>1313</v>
      </c>
      <c r="E76" s="78" t="s">
        <v>1228</v>
      </c>
      <c r="F76" s="102">
        <v>3</v>
      </c>
      <c r="G76" s="78" t="s">
        <v>1314</v>
      </c>
      <c r="H76" s="40" t="s">
        <v>1309</v>
      </c>
      <c r="I76" s="65">
        <v>4</v>
      </c>
      <c r="J76" s="65" t="s">
        <v>808</v>
      </c>
      <c r="K76" s="256">
        <v>42030</v>
      </c>
      <c r="L76" s="56">
        <v>42353</v>
      </c>
      <c r="M76" s="57"/>
      <c r="N76" s="57"/>
      <c r="O76" s="57"/>
      <c r="P76" s="57">
        <v>1</v>
      </c>
      <c r="Q76" s="57"/>
      <c r="R76" s="57"/>
      <c r="S76" s="57"/>
      <c r="T76" s="57">
        <v>1</v>
      </c>
      <c r="U76" s="57"/>
      <c r="V76" s="57"/>
      <c r="W76" s="57"/>
      <c r="X76" s="57">
        <v>1</v>
      </c>
      <c r="Y76" s="506">
        <f t="shared" si="25"/>
        <v>3</v>
      </c>
      <c r="Z76" s="75">
        <v>0</v>
      </c>
      <c r="AA76" s="97"/>
      <c r="AB76" s="1239">
        <v>0</v>
      </c>
      <c r="AC76" s="1239">
        <v>0</v>
      </c>
      <c r="AD76" s="700"/>
      <c r="AE76" s="700"/>
      <c r="AF76" s="701"/>
      <c r="AG76" s="701"/>
      <c r="AH76" s="702"/>
      <c r="AI76" s="702"/>
      <c r="AJ76" s="703"/>
      <c r="AK76" s="703"/>
      <c r="AL76" s="704"/>
      <c r="AM76" s="704"/>
      <c r="AN76" s="634">
        <f t="shared" si="26"/>
        <v>0</v>
      </c>
      <c r="AO76" s="645">
        <f t="shared" si="41"/>
        <v>0</v>
      </c>
      <c r="AP76" s="621">
        <f t="shared" si="28"/>
        <v>0</v>
      </c>
      <c r="AQ76" s="645" t="s">
        <v>1090</v>
      </c>
      <c r="AR76" s="622">
        <f t="shared" si="43"/>
        <v>0</v>
      </c>
      <c r="AS76" s="1647" t="str">
        <f t="shared" si="44"/>
        <v>-</v>
      </c>
      <c r="AT76" s="1647">
        <f t="shared" si="49"/>
        <v>0</v>
      </c>
      <c r="AU76" s="1215">
        <v>0</v>
      </c>
      <c r="AV76" s="624">
        <v>0</v>
      </c>
      <c r="AW76" s="665" t="s">
        <v>1744</v>
      </c>
      <c r="AX76" s="665"/>
      <c r="AY76" s="1697">
        <f t="shared" si="52"/>
        <v>1</v>
      </c>
      <c r="AZ76" s="1699">
        <f t="shared" si="30"/>
        <v>1</v>
      </c>
      <c r="BA76" s="1708">
        <v>1</v>
      </c>
      <c r="BB76" s="1715">
        <v>1</v>
      </c>
      <c r="BC76" s="1715">
        <f t="shared" si="54"/>
        <v>0.3333333333333333</v>
      </c>
      <c r="BD76" s="1699">
        <f t="shared" si="32"/>
        <v>1</v>
      </c>
      <c r="BE76" s="1745">
        <v>0</v>
      </c>
      <c r="BF76" s="1692"/>
      <c r="BG76" s="1702" t="s">
        <v>2074</v>
      </c>
      <c r="BH76" s="1702" t="s">
        <v>2075</v>
      </c>
      <c r="BI76" s="2084">
        <v>1</v>
      </c>
      <c r="BJ76" s="2183">
        <f t="shared" si="33"/>
        <v>1</v>
      </c>
      <c r="BK76" s="2176">
        <v>1</v>
      </c>
      <c r="BL76" s="2183">
        <v>1</v>
      </c>
      <c r="BM76" s="2085">
        <v>0.33</v>
      </c>
      <c r="BN76" s="2085">
        <v>0.33</v>
      </c>
      <c r="BO76" s="2307">
        <v>0</v>
      </c>
      <c r="BP76" s="2084" t="s">
        <v>1090</v>
      </c>
      <c r="BQ76" s="2178" t="s">
        <v>2673</v>
      </c>
      <c r="BR76" s="1988" t="s">
        <v>2674</v>
      </c>
      <c r="BS76" s="2440">
        <f t="shared" si="51"/>
        <v>2</v>
      </c>
      <c r="BT76" s="2379">
        <f t="shared" si="34"/>
        <v>1</v>
      </c>
      <c r="BU76" s="2383">
        <v>2</v>
      </c>
      <c r="BV76" s="2379">
        <v>1</v>
      </c>
      <c r="BW76" s="2373">
        <v>0.6666666666666666</v>
      </c>
      <c r="BX76" s="2373">
        <f>BU76/Y76</f>
        <v>0.6666666666666666</v>
      </c>
      <c r="BY76" s="2380"/>
      <c r="BZ76" s="2339"/>
      <c r="CA76" s="2381" t="s">
        <v>2926</v>
      </c>
      <c r="CB76" s="2376" t="s">
        <v>1770</v>
      </c>
    </row>
    <row r="77" spans="1:80" s="49" customFormat="1" ht="141" customHeight="1" thickBot="1">
      <c r="A77" s="2655"/>
      <c r="B77" s="2655"/>
      <c r="C77" s="2704"/>
      <c r="D77" s="250" t="s">
        <v>1315</v>
      </c>
      <c r="E77" s="78" t="s">
        <v>1228</v>
      </c>
      <c r="F77" s="102">
        <v>3</v>
      </c>
      <c r="G77" s="78" t="s">
        <v>1314</v>
      </c>
      <c r="H77" s="40" t="s">
        <v>1309</v>
      </c>
      <c r="I77" s="65">
        <v>4</v>
      </c>
      <c r="J77" s="65" t="s">
        <v>1316</v>
      </c>
      <c r="K77" s="256">
        <v>42050</v>
      </c>
      <c r="L77" s="56">
        <v>42248</v>
      </c>
      <c r="M77" s="57"/>
      <c r="N77" s="57"/>
      <c r="O77" s="57"/>
      <c r="P77" s="57"/>
      <c r="Q77" s="57">
        <v>1</v>
      </c>
      <c r="R77" s="57"/>
      <c r="S77" s="57">
        <v>1</v>
      </c>
      <c r="T77" s="57"/>
      <c r="U77" s="57">
        <v>1</v>
      </c>
      <c r="V77" s="57"/>
      <c r="W77" s="57"/>
      <c r="X77" s="57"/>
      <c r="Y77" s="506">
        <f t="shared" si="25"/>
        <v>3</v>
      </c>
      <c r="Z77" s="699">
        <v>171790000</v>
      </c>
      <c r="AA77" s="97"/>
      <c r="AB77" s="1246">
        <v>0</v>
      </c>
      <c r="AC77" s="1239">
        <v>0</v>
      </c>
      <c r="AD77" s="700"/>
      <c r="AE77" s="700"/>
      <c r="AF77" s="701"/>
      <c r="AG77" s="701"/>
      <c r="AH77" s="702"/>
      <c r="AI77" s="702"/>
      <c r="AJ77" s="703"/>
      <c r="AK77" s="703"/>
      <c r="AL77" s="704"/>
      <c r="AM77" s="704"/>
      <c r="AN77" s="634">
        <f t="shared" si="26"/>
        <v>0</v>
      </c>
      <c r="AO77" s="645">
        <f t="shared" si="41"/>
        <v>0</v>
      </c>
      <c r="AP77" s="621">
        <f t="shared" si="28"/>
        <v>0</v>
      </c>
      <c r="AQ77" s="645" t="s">
        <v>1090</v>
      </c>
      <c r="AR77" s="622">
        <f t="shared" si="43"/>
        <v>0</v>
      </c>
      <c r="AS77" s="1647" t="str">
        <f t="shared" si="44"/>
        <v>-</v>
      </c>
      <c r="AT77" s="1647">
        <f t="shared" si="49"/>
        <v>0</v>
      </c>
      <c r="AU77" s="1215">
        <v>0</v>
      </c>
      <c r="AV77" s="624">
        <v>0</v>
      </c>
      <c r="AW77" s="665" t="s">
        <v>1745</v>
      </c>
      <c r="AX77" s="665"/>
      <c r="AY77" s="1697">
        <f t="shared" si="52"/>
        <v>0</v>
      </c>
      <c r="AZ77" s="1699">
        <f t="shared" si="30"/>
        <v>0</v>
      </c>
      <c r="BA77" s="1708">
        <v>0</v>
      </c>
      <c r="BB77" s="1716" t="s">
        <v>1090</v>
      </c>
      <c r="BC77" s="1715">
        <f t="shared" si="54"/>
        <v>0</v>
      </c>
      <c r="BD77" s="1699">
        <v>0</v>
      </c>
      <c r="BE77" s="1746">
        <v>68716000</v>
      </c>
      <c r="BF77" s="1699">
        <v>0.4</v>
      </c>
      <c r="BG77" s="1702" t="s">
        <v>2076</v>
      </c>
      <c r="BH77" s="1702" t="s">
        <v>1770</v>
      </c>
      <c r="BI77" s="2084">
        <v>1</v>
      </c>
      <c r="BJ77" s="2183">
        <f t="shared" si="33"/>
        <v>1</v>
      </c>
      <c r="BK77" s="2176">
        <v>1</v>
      </c>
      <c r="BL77" s="2183">
        <v>1</v>
      </c>
      <c r="BM77" s="2085">
        <v>0.33</v>
      </c>
      <c r="BN77" s="2085">
        <v>0.33</v>
      </c>
      <c r="BO77" s="2190">
        <v>68716000</v>
      </c>
      <c r="BP77" s="2085">
        <v>0.4</v>
      </c>
      <c r="BQ77" s="2178" t="s">
        <v>2675</v>
      </c>
      <c r="BR77" s="1988"/>
      <c r="BS77" s="2440">
        <f t="shared" si="51"/>
        <v>2</v>
      </c>
      <c r="BT77" s="2379">
        <f t="shared" si="34"/>
        <v>1</v>
      </c>
      <c r="BU77" s="2383">
        <v>2</v>
      </c>
      <c r="BV77" s="2379">
        <v>1</v>
      </c>
      <c r="BW77" s="2373">
        <v>0.6666666666666666</v>
      </c>
      <c r="BX77" s="2373">
        <f>BU77/Y77</f>
        <v>0.6666666666666666</v>
      </c>
      <c r="BY77" s="2387"/>
      <c r="BZ77" s="2373"/>
      <c r="CA77" s="2381" t="s">
        <v>2927</v>
      </c>
      <c r="CB77" s="2376" t="s">
        <v>1770</v>
      </c>
    </row>
    <row r="78" spans="1:80" s="49" customFormat="1" ht="409.6" thickBot="1">
      <c r="A78" s="2655"/>
      <c r="B78" s="2655"/>
      <c r="C78" s="2704"/>
      <c r="D78" s="1200" t="s">
        <v>1318</v>
      </c>
      <c r="E78" s="578" t="s">
        <v>1319</v>
      </c>
      <c r="F78" s="579">
        <v>9</v>
      </c>
      <c r="G78" s="578" t="s">
        <v>1325</v>
      </c>
      <c r="H78" s="40" t="s">
        <v>1309</v>
      </c>
      <c r="I78" s="65">
        <v>4</v>
      </c>
      <c r="J78" s="283" t="s">
        <v>1317</v>
      </c>
      <c r="K78" s="580">
        <v>42019</v>
      </c>
      <c r="L78" s="581">
        <v>42368</v>
      </c>
      <c r="M78" s="1247"/>
      <c r="N78" s="1247">
        <v>1</v>
      </c>
      <c r="O78" s="1247">
        <v>1</v>
      </c>
      <c r="P78" s="1247">
        <v>1</v>
      </c>
      <c r="Q78" s="1247">
        <v>1</v>
      </c>
      <c r="R78" s="1247">
        <v>1</v>
      </c>
      <c r="S78" s="1247">
        <v>1</v>
      </c>
      <c r="T78" s="1248">
        <v>1</v>
      </c>
      <c r="U78" s="1248">
        <v>1</v>
      </c>
      <c r="V78" s="1248">
        <v>1</v>
      </c>
      <c r="W78" s="1248"/>
      <c r="X78" s="1248"/>
      <c r="Y78" s="436">
        <f>SUM(M78:X78)</f>
        <v>9</v>
      </c>
      <c r="Z78" s="75">
        <v>0</v>
      </c>
      <c r="AA78" s="1249"/>
      <c r="AB78" s="1250">
        <v>0</v>
      </c>
      <c r="AC78" s="1250">
        <v>3</v>
      </c>
      <c r="AD78" s="738"/>
      <c r="AE78" s="738"/>
      <c r="AF78" s="739"/>
      <c r="AG78" s="739"/>
      <c r="AH78" s="740"/>
      <c r="AI78" s="741"/>
      <c r="AJ78" s="742"/>
      <c r="AK78" s="742"/>
      <c r="AL78" s="743"/>
      <c r="AM78" s="743"/>
      <c r="AN78" s="1251">
        <f t="shared" si="26"/>
        <v>1</v>
      </c>
      <c r="AO78" s="645">
        <f t="shared" si="41"/>
        <v>1</v>
      </c>
      <c r="AP78" s="1252">
        <f>SUM(AB78:AC78)</f>
        <v>3</v>
      </c>
      <c r="AQ78" s="645">
        <f t="shared" si="42"/>
        <v>3</v>
      </c>
      <c r="AR78" s="622">
        <f t="shared" si="43"/>
        <v>0.3333333333333333</v>
      </c>
      <c r="AS78" s="1647">
        <f t="shared" si="44"/>
        <v>3</v>
      </c>
      <c r="AT78" s="1647">
        <f t="shared" si="49"/>
        <v>0.3333333333333333</v>
      </c>
      <c r="AU78" s="1215">
        <v>0</v>
      </c>
      <c r="AV78" s="624">
        <v>0</v>
      </c>
      <c r="AW78" s="665" t="s">
        <v>1746</v>
      </c>
      <c r="AX78" s="665"/>
      <c r="AY78" s="1697">
        <f t="shared" si="52"/>
        <v>3</v>
      </c>
      <c r="AZ78" s="1699">
        <f t="shared" si="30"/>
        <v>1</v>
      </c>
      <c r="BA78" s="1708">
        <v>8</v>
      </c>
      <c r="BB78" s="1715">
        <v>1</v>
      </c>
      <c r="BC78" s="1715">
        <f t="shared" si="54"/>
        <v>0.8888888888888888</v>
      </c>
      <c r="BD78" s="1699">
        <f t="shared" si="32"/>
        <v>1</v>
      </c>
      <c r="BE78" s="1745">
        <v>0</v>
      </c>
      <c r="BF78" s="1692"/>
      <c r="BG78" s="1702" t="s">
        <v>2077</v>
      </c>
      <c r="BH78" s="1702" t="s">
        <v>1770</v>
      </c>
      <c r="BI78" s="2084">
        <v>5</v>
      </c>
      <c r="BJ78" s="2183">
        <f t="shared" si="33"/>
        <v>1</v>
      </c>
      <c r="BK78" s="2176">
        <v>11</v>
      </c>
      <c r="BL78" s="2183">
        <v>1</v>
      </c>
      <c r="BM78" s="2085">
        <v>1</v>
      </c>
      <c r="BN78" s="2085">
        <v>1</v>
      </c>
      <c r="BO78" s="2307">
        <v>0</v>
      </c>
      <c r="BP78" s="2084" t="s">
        <v>1090</v>
      </c>
      <c r="BQ78" s="2178" t="s">
        <v>2676</v>
      </c>
      <c r="BR78" s="1988"/>
      <c r="BS78" s="2440">
        <f t="shared" si="51"/>
        <v>7</v>
      </c>
      <c r="BT78" s="2379">
        <f t="shared" si="34"/>
        <v>1</v>
      </c>
      <c r="BU78" s="2383">
        <v>13</v>
      </c>
      <c r="BV78" s="2379">
        <v>1</v>
      </c>
      <c r="BW78" s="2373">
        <v>1</v>
      </c>
      <c r="BX78" s="2373">
        <v>1</v>
      </c>
      <c r="BY78" s="2380"/>
      <c r="BZ78" s="2339"/>
      <c r="CA78" s="2381" t="s">
        <v>2928</v>
      </c>
      <c r="CB78" s="2376" t="s">
        <v>1770</v>
      </c>
    </row>
    <row r="79" spans="1:80" s="49" customFormat="1" ht="217.5" customHeight="1" thickBot="1">
      <c r="A79" s="2655"/>
      <c r="B79" s="2655"/>
      <c r="C79" s="2731"/>
      <c r="D79" s="250" t="s">
        <v>1558</v>
      </c>
      <c r="E79" s="440" t="s">
        <v>1319</v>
      </c>
      <c r="F79" s="258" t="s">
        <v>100</v>
      </c>
      <c r="G79" s="583" t="s">
        <v>1747</v>
      </c>
      <c r="H79" s="54" t="s">
        <v>1309</v>
      </c>
      <c r="I79" s="65">
        <v>4</v>
      </c>
      <c r="J79" s="150" t="s">
        <v>1320</v>
      </c>
      <c r="K79" s="443">
        <v>42019</v>
      </c>
      <c r="L79" s="56">
        <v>42277</v>
      </c>
      <c r="M79" s="1276"/>
      <c r="N79" s="1276">
        <v>1</v>
      </c>
      <c r="O79" s="1276"/>
      <c r="P79" s="1276">
        <v>1</v>
      </c>
      <c r="Q79" s="1276"/>
      <c r="R79" s="1276">
        <v>1</v>
      </c>
      <c r="S79" s="1276"/>
      <c r="T79" s="1276">
        <v>1</v>
      </c>
      <c r="U79" s="1276"/>
      <c r="V79" s="1276">
        <v>1</v>
      </c>
      <c r="W79" s="1276"/>
      <c r="X79" s="1276">
        <v>1</v>
      </c>
      <c r="Y79" s="538">
        <f aca="true" t="shared" si="55" ref="Y79">AVERAGE(M79:X79)</f>
        <v>1</v>
      </c>
      <c r="Z79" s="75">
        <v>0</v>
      </c>
      <c r="AA79" s="1253"/>
      <c r="AB79" s="2690">
        <v>1</v>
      </c>
      <c r="AC79" s="2691"/>
      <c r="AD79" s="1254"/>
      <c r="AE79" s="700"/>
      <c r="AF79" s="701"/>
      <c r="AG79" s="701"/>
      <c r="AH79" s="702"/>
      <c r="AI79" s="702"/>
      <c r="AJ79" s="703"/>
      <c r="AK79" s="703"/>
      <c r="AL79" s="704"/>
      <c r="AM79" s="704"/>
      <c r="AN79" s="634">
        <f t="shared" si="26"/>
        <v>1</v>
      </c>
      <c r="AO79" s="645">
        <f t="shared" si="41"/>
        <v>1</v>
      </c>
      <c r="AP79" s="621">
        <f t="shared" si="28"/>
        <v>1</v>
      </c>
      <c r="AQ79" s="645">
        <f t="shared" si="42"/>
        <v>1</v>
      </c>
      <c r="AR79" s="622">
        <f t="shared" si="43"/>
        <v>1</v>
      </c>
      <c r="AS79" s="1647">
        <f t="shared" si="44"/>
        <v>1</v>
      </c>
      <c r="AT79" s="1647">
        <f t="shared" si="49"/>
        <v>1</v>
      </c>
      <c r="AU79" s="1215">
        <v>0</v>
      </c>
      <c r="AV79" s="624">
        <v>0</v>
      </c>
      <c r="AW79" s="665" t="s">
        <v>1748</v>
      </c>
      <c r="AX79" s="665"/>
      <c r="AY79" s="1699">
        <v>1</v>
      </c>
      <c r="AZ79" s="1699">
        <f t="shared" si="30"/>
        <v>1</v>
      </c>
      <c r="BA79" s="1709">
        <v>1</v>
      </c>
      <c r="BB79" s="1715">
        <f>BA79/AY79</f>
        <v>1</v>
      </c>
      <c r="BC79" s="1715">
        <f t="shared" si="54"/>
        <v>1</v>
      </c>
      <c r="BD79" s="1699">
        <f t="shared" si="32"/>
        <v>1</v>
      </c>
      <c r="BE79" s="1745">
        <v>0</v>
      </c>
      <c r="BF79" s="1692"/>
      <c r="BG79" s="1702" t="s">
        <v>2078</v>
      </c>
      <c r="BH79" s="1702" t="s">
        <v>1770</v>
      </c>
      <c r="BI79" s="2084">
        <v>1</v>
      </c>
      <c r="BJ79" s="2183">
        <f t="shared" si="33"/>
        <v>1</v>
      </c>
      <c r="BK79" s="2177">
        <v>1</v>
      </c>
      <c r="BL79" s="2183">
        <v>1</v>
      </c>
      <c r="BM79" s="2085">
        <v>0.5</v>
      </c>
      <c r="BN79" s="2085">
        <v>0.5</v>
      </c>
      <c r="BO79" s="2307">
        <v>0</v>
      </c>
      <c r="BP79" s="2084" t="s">
        <v>1090</v>
      </c>
      <c r="BQ79" s="2178" t="s">
        <v>2677</v>
      </c>
      <c r="BR79" s="1988"/>
      <c r="BS79" s="2382">
        <v>1</v>
      </c>
      <c r="BT79" s="2379">
        <f t="shared" si="34"/>
        <v>1</v>
      </c>
      <c r="BU79" s="2384">
        <v>1</v>
      </c>
      <c r="BV79" s="2379">
        <v>1</v>
      </c>
      <c r="BW79" s="2373">
        <v>1</v>
      </c>
      <c r="BX79" s="2373">
        <v>1</v>
      </c>
      <c r="BY79" s="2380"/>
      <c r="BZ79" s="2339"/>
      <c r="CA79" s="2381" t="s">
        <v>2929</v>
      </c>
      <c r="CB79" s="2376" t="s">
        <v>1770</v>
      </c>
    </row>
    <row r="80" spans="1:80" s="49" customFormat="1" ht="78.75" customHeight="1" thickBot="1">
      <c r="A80" s="2655"/>
      <c r="B80" s="2655"/>
      <c r="C80" s="2656" t="s">
        <v>1749</v>
      </c>
      <c r="D80" s="250" t="s">
        <v>1321</v>
      </c>
      <c r="E80" s="578" t="s">
        <v>1322</v>
      </c>
      <c r="F80" s="579">
        <v>100</v>
      </c>
      <c r="G80" s="578" t="s">
        <v>1261</v>
      </c>
      <c r="H80" s="283" t="s">
        <v>1323</v>
      </c>
      <c r="I80" s="65">
        <v>4</v>
      </c>
      <c r="J80" s="283" t="s">
        <v>1161</v>
      </c>
      <c r="K80" s="580">
        <v>42019</v>
      </c>
      <c r="L80" s="581">
        <v>42323</v>
      </c>
      <c r="M80" s="330"/>
      <c r="N80" s="330"/>
      <c r="O80" s="330"/>
      <c r="P80" s="330"/>
      <c r="Q80" s="330"/>
      <c r="R80" s="330"/>
      <c r="S80" s="330"/>
      <c r="T80" s="330"/>
      <c r="U80" s="330"/>
      <c r="V80" s="330"/>
      <c r="W80" s="582">
        <v>1</v>
      </c>
      <c r="X80" s="330"/>
      <c r="Y80" s="538">
        <f t="shared" si="25"/>
        <v>1</v>
      </c>
      <c r="Z80" s="584">
        <v>24000000</v>
      </c>
      <c r="AA80" s="253"/>
      <c r="AB80" s="1255">
        <v>0</v>
      </c>
      <c r="AC80" s="1256">
        <v>0.05</v>
      </c>
      <c r="AD80" s="738"/>
      <c r="AE80" s="738"/>
      <c r="AF80" s="739"/>
      <c r="AG80" s="739"/>
      <c r="AH80" s="740"/>
      <c r="AI80" s="740"/>
      <c r="AJ80" s="744"/>
      <c r="AK80" s="744"/>
      <c r="AL80" s="743"/>
      <c r="AM80" s="745"/>
      <c r="AN80" s="645">
        <f t="shared" si="26"/>
        <v>0</v>
      </c>
      <c r="AO80" s="645">
        <f t="shared" si="41"/>
        <v>0</v>
      </c>
      <c r="AP80" s="632">
        <f t="shared" si="28"/>
        <v>0.05</v>
      </c>
      <c r="AQ80" s="645" t="s">
        <v>1090</v>
      </c>
      <c r="AR80" s="622">
        <f t="shared" si="43"/>
        <v>0.05</v>
      </c>
      <c r="AS80" s="1647" t="str">
        <f t="shared" si="44"/>
        <v>-</v>
      </c>
      <c r="AT80" s="1647">
        <f t="shared" si="49"/>
        <v>0.05</v>
      </c>
      <c r="AU80" s="1215">
        <v>0</v>
      </c>
      <c r="AV80" s="624">
        <v>0</v>
      </c>
      <c r="AW80" s="746" t="s">
        <v>1750</v>
      </c>
      <c r="AX80" s="746"/>
      <c r="AY80" s="1697">
        <f t="shared" si="52"/>
        <v>0</v>
      </c>
      <c r="AZ80" s="1699">
        <f t="shared" si="30"/>
        <v>0</v>
      </c>
      <c r="BA80" s="1708">
        <v>10</v>
      </c>
      <c r="BB80" s="1715" t="s">
        <v>1090</v>
      </c>
      <c r="BC80" s="1715">
        <v>1</v>
      </c>
      <c r="BD80" s="1699">
        <v>0</v>
      </c>
      <c r="BE80" s="1745">
        <v>0</v>
      </c>
      <c r="BF80" s="1692"/>
      <c r="BG80" s="1702" t="s">
        <v>2079</v>
      </c>
      <c r="BH80" s="1702" t="s">
        <v>2080</v>
      </c>
      <c r="BI80" s="2084">
        <v>0</v>
      </c>
      <c r="BJ80" s="2183">
        <f t="shared" si="33"/>
        <v>0</v>
      </c>
      <c r="BK80" s="2177">
        <v>0.2</v>
      </c>
      <c r="BL80" s="2183" t="s">
        <v>1090</v>
      </c>
      <c r="BM80" s="2085">
        <v>0.2</v>
      </c>
      <c r="BN80" s="2085">
        <v>0.2</v>
      </c>
      <c r="BO80" s="2307">
        <v>0</v>
      </c>
      <c r="BP80" s="2084" t="s">
        <v>1090</v>
      </c>
      <c r="BQ80" s="2178" t="s">
        <v>2678</v>
      </c>
      <c r="BR80" s="1988" t="s">
        <v>2679</v>
      </c>
      <c r="BS80" s="2382">
        <f t="shared" si="51"/>
        <v>0</v>
      </c>
      <c r="BT80" s="2379">
        <f t="shared" si="34"/>
        <v>0</v>
      </c>
      <c r="BU80" s="2384">
        <v>0.30000000000000004</v>
      </c>
      <c r="BV80" s="2379" t="s">
        <v>1090</v>
      </c>
      <c r="BW80" s="2373">
        <v>0.30000000000000004</v>
      </c>
      <c r="BX80" s="2373">
        <f>BU80/Y80</f>
        <v>0.30000000000000004</v>
      </c>
      <c r="BY80" s="2380"/>
      <c r="BZ80" s="2339"/>
      <c r="CA80" s="2381" t="s">
        <v>2930</v>
      </c>
      <c r="CB80" s="2376" t="s">
        <v>2931</v>
      </c>
    </row>
    <row r="81" spans="1:80" s="49" customFormat="1" ht="121.5" customHeight="1" thickBot="1">
      <c r="A81" s="2655"/>
      <c r="B81" s="2655"/>
      <c r="C81" s="2657"/>
      <c r="D81" s="1200" t="s">
        <v>1751</v>
      </c>
      <c r="E81" s="261" t="s">
        <v>1324</v>
      </c>
      <c r="F81" s="105">
        <v>8</v>
      </c>
      <c r="G81" s="261" t="s">
        <v>1325</v>
      </c>
      <c r="H81" s="262" t="s">
        <v>1323</v>
      </c>
      <c r="I81" s="65">
        <v>4</v>
      </c>
      <c r="J81" s="150" t="s">
        <v>1320</v>
      </c>
      <c r="K81" s="554">
        <v>42019</v>
      </c>
      <c r="L81" s="43">
        <v>42353</v>
      </c>
      <c r="M81" s="44"/>
      <c r="N81" s="44"/>
      <c r="O81" s="44">
        <v>1</v>
      </c>
      <c r="P81" s="44">
        <v>1</v>
      </c>
      <c r="Q81" s="44">
        <v>1</v>
      </c>
      <c r="R81" s="44">
        <v>1</v>
      </c>
      <c r="S81" s="44">
        <v>1</v>
      </c>
      <c r="T81" s="44">
        <v>1</v>
      </c>
      <c r="U81" s="44">
        <v>1</v>
      </c>
      <c r="V81" s="44">
        <v>1</v>
      </c>
      <c r="W81" s="44"/>
      <c r="X81" s="44"/>
      <c r="Y81" s="506">
        <f t="shared" si="25"/>
        <v>8</v>
      </c>
      <c r="Z81" s="608">
        <v>30000000</v>
      </c>
      <c r="AA81" s="610"/>
      <c r="AB81" s="1246">
        <v>0</v>
      </c>
      <c r="AC81" s="1246">
        <v>1</v>
      </c>
      <c r="AD81" s="747"/>
      <c r="AE81" s="747"/>
      <c r="AF81" s="748"/>
      <c r="AG81" s="748"/>
      <c r="AH81" s="749"/>
      <c r="AI81" s="749"/>
      <c r="AJ81" s="750"/>
      <c r="AK81" s="750"/>
      <c r="AL81" s="751"/>
      <c r="AM81" s="751"/>
      <c r="AN81" s="634">
        <f t="shared" si="26"/>
        <v>0</v>
      </c>
      <c r="AO81" s="645">
        <f t="shared" si="41"/>
        <v>0</v>
      </c>
      <c r="AP81" s="621">
        <f t="shared" si="28"/>
        <v>1</v>
      </c>
      <c r="AQ81" s="645" t="s">
        <v>1090</v>
      </c>
      <c r="AR81" s="622">
        <f t="shared" si="43"/>
        <v>0.125</v>
      </c>
      <c r="AS81" s="1647" t="str">
        <f t="shared" si="44"/>
        <v>-</v>
      </c>
      <c r="AT81" s="1647">
        <f t="shared" si="49"/>
        <v>0.125</v>
      </c>
      <c r="AU81" s="1215">
        <v>0</v>
      </c>
      <c r="AV81" s="624">
        <v>0</v>
      </c>
      <c r="AW81" s="665" t="s">
        <v>1752</v>
      </c>
      <c r="AX81" s="665"/>
      <c r="AY81" s="1697">
        <f t="shared" si="52"/>
        <v>2</v>
      </c>
      <c r="AZ81" s="1699">
        <f t="shared" si="30"/>
        <v>1</v>
      </c>
      <c r="BA81" s="1708">
        <v>2</v>
      </c>
      <c r="BB81" s="1715">
        <f>BA81/AY81</f>
        <v>1</v>
      </c>
      <c r="BC81" s="1715">
        <f>BA81/Y81</f>
        <v>0.25</v>
      </c>
      <c r="BD81" s="1699">
        <f t="shared" si="32"/>
        <v>1</v>
      </c>
      <c r="BE81" s="1745">
        <v>0</v>
      </c>
      <c r="BF81" s="1692"/>
      <c r="BG81" s="1702" t="s">
        <v>2081</v>
      </c>
      <c r="BH81" s="1702" t="s">
        <v>1770</v>
      </c>
      <c r="BI81" s="2084">
        <v>4</v>
      </c>
      <c r="BJ81" s="2183">
        <f t="shared" si="33"/>
        <v>1</v>
      </c>
      <c r="BK81" s="2176">
        <v>5</v>
      </c>
      <c r="BL81" s="2183">
        <v>1</v>
      </c>
      <c r="BM81" s="2085">
        <f>BK81/Y81</f>
        <v>0.625</v>
      </c>
      <c r="BN81" s="2085">
        <v>0.625</v>
      </c>
      <c r="BO81" s="2307">
        <v>0</v>
      </c>
      <c r="BP81" s="2084" t="s">
        <v>1090</v>
      </c>
      <c r="BQ81" s="2178" t="s">
        <v>2680</v>
      </c>
      <c r="BR81" s="1988"/>
      <c r="BS81" s="2440">
        <f t="shared" si="51"/>
        <v>6</v>
      </c>
      <c r="BT81" s="2379">
        <f t="shared" si="34"/>
        <v>1</v>
      </c>
      <c r="BU81" s="2383">
        <v>8</v>
      </c>
      <c r="BV81" s="2379">
        <v>1</v>
      </c>
      <c r="BW81" s="2373">
        <v>1</v>
      </c>
      <c r="BX81" s="2373">
        <f>BU81/Y81</f>
        <v>1</v>
      </c>
      <c r="BY81" s="2380"/>
      <c r="BZ81" s="2339"/>
      <c r="CA81" s="2381" t="s">
        <v>2932</v>
      </c>
      <c r="CB81" s="2376" t="s">
        <v>1770</v>
      </c>
    </row>
    <row r="82" spans="1:80" s="49" customFormat="1" ht="79.5" customHeight="1" thickBot="1">
      <c r="A82" s="2655"/>
      <c r="B82" s="2655"/>
      <c r="C82" s="2657"/>
      <c r="D82" s="1200" t="s">
        <v>1559</v>
      </c>
      <c r="E82" s="261" t="s">
        <v>1326</v>
      </c>
      <c r="F82" s="105">
        <v>100</v>
      </c>
      <c r="G82" s="261" t="s">
        <v>1261</v>
      </c>
      <c r="H82" s="262" t="s">
        <v>1323</v>
      </c>
      <c r="I82" s="65">
        <v>4</v>
      </c>
      <c r="J82" s="262" t="s">
        <v>1327</v>
      </c>
      <c r="K82" s="554">
        <v>42019</v>
      </c>
      <c r="L82" s="43">
        <v>42353</v>
      </c>
      <c r="M82" s="562"/>
      <c r="N82" s="562"/>
      <c r="O82" s="562"/>
      <c r="P82" s="562"/>
      <c r="Q82" s="562"/>
      <c r="R82" s="562"/>
      <c r="S82" s="562"/>
      <c r="T82" s="562"/>
      <c r="U82" s="562">
        <v>1</v>
      </c>
      <c r="V82" s="562"/>
      <c r="W82" s="562"/>
      <c r="X82" s="562"/>
      <c r="Y82" s="538">
        <f t="shared" si="25"/>
        <v>1</v>
      </c>
      <c r="Z82" s="608">
        <v>25000000</v>
      </c>
      <c r="AA82" s="610"/>
      <c r="AB82" s="1241">
        <v>0</v>
      </c>
      <c r="AC82" s="1241">
        <v>0.1</v>
      </c>
      <c r="AD82" s="727"/>
      <c r="AE82" s="727"/>
      <c r="AF82" s="728"/>
      <c r="AG82" s="728"/>
      <c r="AH82" s="729"/>
      <c r="AI82" s="729"/>
      <c r="AJ82" s="730"/>
      <c r="AK82" s="730"/>
      <c r="AL82" s="731"/>
      <c r="AM82" s="731"/>
      <c r="AN82" s="645">
        <f t="shared" si="26"/>
        <v>0</v>
      </c>
      <c r="AO82" s="645">
        <f t="shared" si="41"/>
        <v>0</v>
      </c>
      <c r="AP82" s="632">
        <f t="shared" si="28"/>
        <v>0.1</v>
      </c>
      <c r="AQ82" s="645" t="s">
        <v>1090</v>
      </c>
      <c r="AR82" s="622">
        <f t="shared" si="43"/>
        <v>0.1</v>
      </c>
      <c r="AS82" s="1647" t="str">
        <f t="shared" si="44"/>
        <v>-</v>
      </c>
      <c r="AT82" s="1647">
        <f t="shared" si="49"/>
        <v>0.1</v>
      </c>
      <c r="AU82" s="1215">
        <v>0</v>
      </c>
      <c r="AV82" s="624">
        <v>0</v>
      </c>
      <c r="AW82" s="665" t="s">
        <v>1753</v>
      </c>
      <c r="AX82" s="665"/>
      <c r="AY82" s="1697">
        <f t="shared" si="52"/>
        <v>0</v>
      </c>
      <c r="AZ82" s="1699">
        <f t="shared" si="30"/>
        <v>0</v>
      </c>
      <c r="BA82" s="1708">
        <v>20</v>
      </c>
      <c r="BB82" s="1715" t="s">
        <v>1090</v>
      </c>
      <c r="BC82" s="1715">
        <v>1</v>
      </c>
      <c r="BD82" s="1699">
        <v>0</v>
      </c>
      <c r="BE82" s="1745">
        <v>0</v>
      </c>
      <c r="BF82" s="1692"/>
      <c r="BG82" s="1702" t="s">
        <v>2082</v>
      </c>
      <c r="BH82" s="1702" t="s">
        <v>1770</v>
      </c>
      <c r="BI82" s="2084">
        <v>0</v>
      </c>
      <c r="BJ82" s="2183">
        <f t="shared" si="33"/>
        <v>0</v>
      </c>
      <c r="BK82" s="2177">
        <v>0.30000000000000004</v>
      </c>
      <c r="BL82" s="2183" t="s">
        <v>1090</v>
      </c>
      <c r="BM82" s="2085">
        <v>0.3</v>
      </c>
      <c r="BN82" s="2085">
        <v>0.3</v>
      </c>
      <c r="BO82" s="2307">
        <v>0</v>
      </c>
      <c r="BP82" s="2084" t="s">
        <v>1090</v>
      </c>
      <c r="BQ82" s="2178" t="s">
        <v>2681</v>
      </c>
      <c r="BR82" s="1988" t="s">
        <v>2679</v>
      </c>
      <c r="BS82" s="2382">
        <f t="shared" si="51"/>
        <v>0</v>
      </c>
      <c r="BT82" s="2379">
        <f t="shared" si="34"/>
        <v>0</v>
      </c>
      <c r="BU82" s="2384">
        <v>0.30000000000000004</v>
      </c>
      <c r="BV82" s="2379" t="s">
        <v>1090</v>
      </c>
      <c r="BW82" s="2373">
        <v>0.30000000000000004</v>
      </c>
      <c r="BX82" s="2373">
        <f>BU82/Y82</f>
        <v>0.30000000000000004</v>
      </c>
      <c r="BY82" s="2380"/>
      <c r="BZ82" s="2339"/>
      <c r="CA82" s="2381" t="s">
        <v>2933</v>
      </c>
      <c r="CB82" s="2376" t="s">
        <v>2931</v>
      </c>
    </row>
    <row r="83" spans="1:80" s="49" customFormat="1" ht="99" customHeight="1" thickBot="1">
      <c r="A83" s="2655"/>
      <c r="B83" s="2655"/>
      <c r="C83" s="2657"/>
      <c r="D83" s="1200" t="s">
        <v>1328</v>
      </c>
      <c r="E83" s="261" t="s">
        <v>1329</v>
      </c>
      <c r="F83" s="105">
        <v>6</v>
      </c>
      <c r="G83" s="261" t="s">
        <v>1330</v>
      </c>
      <c r="H83" s="262" t="s">
        <v>1323</v>
      </c>
      <c r="I83" s="65">
        <v>4</v>
      </c>
      <c r="J83" s="150" t="s">
        <v>1331</v>
      </c>
      <c r="K83" s="554">
        <v>42019</v>
      </c>
      <c r="L83" s="43">
        <v>42342</v>
      </c>
      <c r="M83" s="44"/>
      <c r="N83" s="44">
        <v>1</v>
      </c>
      <c r="O83" s="44"/>
      <c r="P83" s="44">
        <v>1</v>
      </c>
      <c r="Q83" s="44"/>
      <c r="R83" s="44">
        <v>1</v>
      </c>
      <c r="S83" s="44"/>
      <c r="T83" s="44">
        <v>1</v>
      </c>
      <c r="U83" s="44"/>
      <c r="V83" s="44">
        <v>1</v>
      </c>
      <c r="W83" s="44"/>
      <c r="X83" s="44">
        <v>1</v>
      </c>
      <c r="Y83" s="506">
        <f t="shared" si="25"/>
        <v>6</v>
      </c>
      <c r="Z83" s="608">
        <v>6000000</v>
      </c>
      <c r="AA83" s="610"/>
      <c r="AB83" s="1246">
        <v>0</v>
      </c>
      <c r="AC83" s="1246">
        <v>0</v>
      </c>
      <c r="AD83" s="747"/>
      <c r="AE83" s="747"/>
      <c r="AF83" s="748"/>
      <c r="AG83" s="748"/>
      <c r="AH83" s="749"/>
      <c r="AI83" s="749"/>
      <c r="AJ83" s="750"/>
      <c r="AK83" s="750"/>
      <c r="AL83" s="751"/>
      <c r="AM83" s="751"/>
      <c r="AN83" s="634">
        <f t="shared" si="26"/>
        <v>1</v>
      </c>
      <c r="AO83" s="645">
        <f t="shared" si="41"/>
        <v>1</v>
      </c>
      <c r="AP83" s="621">
        <f t="shared" si="28"/>
        <v>0</v>
      </c>
      <c r="AQ83" s="645">
        <f t="shared" si="42"/>
        <v>0</v>
      </c>
      <c r="AR83" s="622">
        <f t="shared" si="43"/>
        <v>0</v>
      </c>
      <c r="AS83" s="1647">
        <f t="shared" si="44"/>
        <v>0</v>
      </c>
      <c r="AT83" s="1647">
        <f t="shared" si="49"/>
        <v>0</v>
      </c>
      <c r="AU83" s="1215">
        <v>0</v>
      </c>
      <c r="AV83" s="624">
        <v>0</v>
      </c>
      <c r="AW83" s="665" t="s">
        <v>1669</v>
      </c>
      <c r="AX83" s="665" t="s">
        <v>1754</v>
      </c>
      <c r="AY83" s="1697">
        <f t="shared" si="52"/>
        <v>2</v>
      </c>
      <c r="AZ83" s="1699">
        <f t="shared" si="30"/>
        <v>1</v>
      </c>
      <c r="BA83" s="1708">
        <v>3</v>
      </c>
      <c r="BB83" s="1715">
        <v>1</v>
      </c>
      <c r="BC83" s="1715">
        <f>BA83/Y83</f>
        <v>0.5</v>
      </c>
      <c r="BD83" s="1699">
        <f t="shared" si="32"/>
        <v>1</v>
      </c>
      <c r="BE83" s="1745">
        <v>0</v>
      </c>
      <c r="BF83" s="1692"/>
      <c r="BG83" s="1702" t="s">
        <v>2083</v>
      </c>
      <c r="BH83" s="1702" t="s">
        <v>2084</v>
      </c>
      <c r="BI83" s="2084">
        <v>3</v>
      </c>
      <c r="BJ83" s="2183">
        <f t="shared" si="33"/>
        <v>1</v>
      </c>
      <c r="BK83" s="2176">
        <v>5</v>
      </c>
      <c r="BL83" s="2183">
        <v>1</v>
      </c>
      <c r="BM83" s="2085">
        <f>BK83/Y83</f>
        <v>0.8333333333333334</v>
      </c>
      <c r="BN83" s="2085">
        <v>0.8333333333333334</v>
      </c>
      <c r="BO83" s="2307">
        <v>0</v>
      </c>
      <c r="BP83" s="2084" t="s">
        <v>1090</v>
      </c>
      <c r="BQ83" s="2178" t="s">
        <v>2682</v>
      </c>
      <c r="BR83" s="1988" t="s">
        <v>2683</v>
      </c>
      <c r="BS83" s="2440">
        <f t="shared" si="51"/>
        <v>4</v>
      </c>
      <c r="BT83" s="2379">
        <f t="shared" si="34"/>
        <v>1</v>
      </c>
      <c r="BU83" s="2383">
        <v>6</v>
      </c>
      <c r="BV83" s="2379">
        <v>1</v>
      </c>
      <c r="BW83" s="2373">
        <v>1</v>
      </c>
      <c r="BX83" s="2373">
        <f>BU83/Y83</f>
        <v>1</v>
      </c>
      <c r="BY83" s="2380"/>
      <c r="BZ83" s="2339"/>
      <c r="CA83" s="2381" t="s">
        <v>2934</v>
      </c>
      <c r="CB83" s="2376" t="s">
        <v>1770</v>
      </c>
    </row>
    <row r="84" spans="1:80" s="49" customFormat="1" ht="117.75" customHeight="1" thickBot="1">
      <c r="A84" s="2655"/>
      <c r="B84" s="2655"/>
      <c r="C84" s="2657"/>
      <c r="D84" s="1200" t="s">
        <v>1755</v>
      </c>
      <c r="E84" s="261" t="s">
        <v>1756</v>
      </c>
      <c r="F84" s="752">
        <v>2</v>
      </c>
      <c r="G84" s="261" t="s">
        <v>1332</v>
      </c>
      <c r="H84" s="262" t="s">
        <v>1323</v>
      </c>
      <c r="I84" s="65">
        <v>4</v>
      </c>
      <c r="J84" s="262" t="s">
        <v>1333</v>
      </c>
      <c r="K84" s="554">
        <v>42019</v>
      </c>
      <c r="L84" s="43">
        <v>42246</v>
      </c>
      <c r="M84" s="562"/>
      <c r="N84" s="562"/>
      <c r="O84" s="562"/>
      <c r="P84" s="562"/>
      <c r="Q84" s="562"/>
      <c r="R84" s="562"/>
      <c r="S84" s="562"/>
      <c r="T84" s="562"/>
      <c r="U84" s="562"/>
      <c r="V84" s="562"/>
      <c r="W84" s="562"/>
      <c r="X84" s="562">
        <v>1</v>
      </c>
      <c r="Y84" s="538">
        <f t="shared" si="25"/>
        <v>1</v>
      </c>
      <c r="Z84" s="608">
        <v>50000000</v>
      </c>
      <c r="AA84" s="610"/>
      <c r="AB84" s="1241">
        <v>0</v>
      </c>
      <c r="AC84" s="1241">
        <v>0</v>
      </c>
      <c r="AD84" s="727"/>
      <c r="AE84" s="727"/>
      <c r="AF84" s="728"/>
      <c r="AG84" s="728"/>
      <c r="AH84" s="729"/>
      <c r="AI84" s="729"/>
      <c r="AJ84" s="730"/>
      <c r="AK84" s="730"/>
      <c r="AL84" s="731"/>
      <c r="AM84" s="731"/>
      <c r="AN84" s="645">
        <f t="shared" si="26"/>
        <v>0</v>
      </c>
      <c r="AO84" s="645">
        <f t="shared" si="41"/>
        <v>0</v>
      </c>
      <c r="AP84" s="632">
        <f t="shared" si="28"/>
        <v>0</v>
      </c>
      <c r="AQ84" s="645" t="s">
        <v>1090</v>
      </c>
      <c r="AR84" s="622">
        <f t="shared" si="43"/>
        <v>0</v>
      </c>
      <c r="AS84" s="1647" t="str">
        <f t="shared" si="44"/>
        <v>-</v>
      </c>
      <c r="AT84" s="1647">
        <f t="shared" si="49"/>
        <v>0</v>
      </c>
      <c r="AU84" s="1215">
        <v>0</v>
      </c>
      <c r="AV84" s="624">
        <v>0</v>
      </c>
      <c r="AW84" s="665" t="s">
        <v>1757</v>
      </c>
      <c r="AX84" s="665"/>
      <c r="AY84" s="1699">
        <f t="shared" si="52"/>
        <v>0</v>
      </c>
      <c r="AZ84" s="1699">
        <f t="shared" si="30"/>
        <v>0</v>
      </c>
      <c r="BA84" s="1709">
        <v>0.5</v>
      </c>
      <c r="BB84" s="1715" t="e">
        <f>BA84/AY84</f>
        <v>#DIV/0!</v>
      </c>
      <c r="BC84" s="1715">
        <f>BA84/Y84</f>
        <v>0.5</v>
      </c>
      <c r="BD84" s="1699" t="str">
        <f t="shared" si="32"/>
        <v>-</v>
      </c>
      <c r="BE84" s="1745">
        <v>0</v>
      </c>
      <c r="BF84" s="1692"/>
      <c r="BG84" s="1702" t="s">
        <v>2085</v>
      </c>
      <c r="BH84" s="1702" t="s">
        <v>2086</v>
      </c>
      <c r="BI84" s="2084">
        <v>0</v>
      </c>
      <c r="BJ84" s="2183">
        <f t="shared" si="33"/>
        <v>0</v>
      </c>
      <c r="BK84" s="2177">
        <v>0</v>
      </c>
      <c r="BL84" s="2183">
        <v>0</v>
      </c>
      <c r="BM84" s="2085">
        <v>0</v>
      </c>
      <c r="BN84" s="2085">
        <v>0</v>
      </c>
      <c r="BO84" s="2307">
        <v>0</v>
      </c>
      <c r="BP84" s="2084" t="s">
        <v>1090</v>
      </c>
      <c r="BQ84" s="2178" t="s">
        <v>2684</v>
      </c>
      <c r="BR84" s="1988" t="s">
        <v>2685</v>
      </c>
      <c r="BS84" s="2382">
        <f t="shared" si="51"/>
        <v>0</v>
      </c>
      <c r="BT84" s="2379">
        <f t="shared" si="34"/>
        <v>0</v>
      </c>
      <c r="BU84" s="2384">
        <v>0.1</v>
      </c>
      <c r="BV84" s="2379" t="s">
        <v>1090</v>
      </c>
      <c r="BW84" s="2373">
        <v>0.1</v>
      </c>
      <c r="BX84" s="2373">
        <f>BU84/Y84</f>
        <v>0.1</v>
      </c>
      <c r="BY84" s="2380"/>
      <c r="BZ84" s="2339"/>
      <c r="CA84" s="2381" t="s">
        <v>2935</v>
      </c>
      <c r="CB84" s="2376" t="s">
        <v>2931</v>
      </c>
    </row>
    <row r="85" spans="1:80" s="49" customFormat="1" ht="48" customHeight="1" thickBot="1">
      <c r="A85" s="2655"/>
      <c r="B85" s="2655"/>
      <c r="C85" s="2657"/>
      <c r="D85" s="2692" t="s">
        <v>1334</v>
      </c>
      <c r="E85" s="78" t="s">
        <v>1335</v>
      </c>
      <c r="F85" s="102">
        <v>100</v>
      </c>
      <c r="G85" s="78" t="s">
        <v>1336</v>
      </c>
      <c r="H85" s="262" t="s">
        <v>1323</v>
      </c>
      <c r="I85" s="65">
        <v>4</v>
      </c>
      <c r="J85" s="65" t="s">
        <v>1337</v>
      </c>
      <c r="K85" s="256">
        <v>42019</v>
      </c>
      <c r="L85" s="56">
        <v>42170</v>
      </c>
      <c r="M85" s="565"/>
      <c r="N85" s="565"/>
      <c r="O85" s="565"/>
      <c r="P85" s="565"/>
      <c r="Q85" s="565"/>
      <c r="R85" s="565">
        <v>1</v>
      </c>
      <c r="S85" s="565"/>
      <c r="T85" s="565"/>
      <c r="U85" s="565"/>
      <c r="V85" s="565"/>
      <c r="W85" s="565"/>
      <c r="X85" s="565"/>
      <c r="Y85" s="538">
        <f t="shared" si="25"/>
        <v>1</v>
      </c>
      <c r="Z85" s="2727">
        <v>100000000</v>
      </c>
      <c r="AA85" s="97"/>
      <c r="AB85" s="1238">
        <v>0</v>
      </c>
      <c r="AC85" s="1238">
        <v>0.5</v>
      </c>
      <c r="AD85" s="694"/>
      <c r="AE85" s="694"/>
      <c r="AF85" s="695"/>
      <c r="AG85" s="695"/>
      <c r="AH85" s="696"/>
      <c r="AI85" s="696"/>
      <c r="AJ85" s="697"/>
      <c r="AK85" s="697"/>
      <c r="AL85" s="698"/>
      <c r="AM85" s="698"/>
      <c r="AN85" s="645">
        <f t="shared" si="26"/>
        <v>0</v>
      </c>
      <c r="AO85" s="645">
        <f t="shared" si="41"/>
        <v>0</v>
      </c>
      <c r="AP85" s="632">
        <f t="shared" si="28"/>
        <v>0.5</v>
      </c>
      <c r="AQ85" s="645" t="s">
        <v>1090</v>
      </c>
      <c r="AR85" s="622">
        <f t="shared" si="43"/>
        <v>0.5</v>
      </c>
      <c r="AS85" s="1647" t="str">
        <f t="shared" si="44"/>
        <v>-</v>
      </c>
      <c r="AT85" s="1647">
        <f t="shared" si="49"/>
        <v>0.5</v>
      </c>
      <c r="AU85" s="1215">
        <v>0</v>
      </c>
      <c r="AV85" s="624">
        <v>0</v>
      </c>
      <c r="AW85" s="665" t="s">
        <v>1758</v>
      </c>
      <c r="AX85" s="665"/>
      <c r="AY85" s="1697">
        <f t="shared" si="52"/>
        <v>0</v>
      </c>
      <c r="AZ85" s="1699">
        <f t="shared" si="30"/>
        <v>0</v>
      </c>
      <c r="BA85" s="1708">
        <v>50</v>
      </c>
      <c r="BB85" s="1715" t="s">
        <v>1090</v>
      </c>
      <c r="BC85" s="1715">
        <v>1</v>
      </c>
      <c r="BD85" s="1699">
        <v>0</v>
      </c>
      <c r="BE85" s="1745">
        <v>0</v>
      </c>
      <c r="BF85" s="1692"/>
      <c r="BG85" s="1702" t="s">
        <v>2087</v>
      </c>
      <c r="BH85" s="1702" t="s">
        <v>2088</v>
      </c>
      <c r="BI85" s="2084">
        <v>1</v>
      </c>
      <c r="BJ85" s="2183">
        <f t="shared" si="33"/>
        <v>1</v>
      </c>
      <c r="BK85" s="2177">
        <v>1</v>
      </c>
      <c r="BL85" s="2183">
        <v>1</v>
      </c>
      <c r="BM85" s="2085">
        <v>1</v>
      </c>
      <c r="BN85" s="2085">
        <v>1</v>
      </c>
      <c r="BO85" s="2307">
        <v>0</v>
      </c>
      <c r="BP85" s="2084" t="s">
        <v>1090</v>
      </c>
      <c r="BQ85" s="2178" t="s">
        <v>2686</v>
      </c>
      <c r="BR85" s="1988"/>
      <c r="BS85" s="2382">
        <f t="shared" si="51"/>
        <v>1</v>
      </c>
      <c r="BT85" s="2379">
        <f t="shared" si="34"/>
        <v>1</v>
      </c>
      <c r="BU85" s="2384">
        <v>1</v>
      </c>
      <c r="BV85" s="2379">
        <v>1</v>
      </c>
      <c r="BW85" s="2373">
        <v>1</v>
      </c>
      <c r="BX85" s="2373">
        <v>1</v>
      </c>
      <c r="BY85" s="2380"/>
      <c r="BZ85" s="2339"/>
      <c r="CA85" s="2381" t="s">
        <v>2863</v>
      </c>
      <c r="CB85" s="2376" t="s">
        <v>1770</v>
      </c>
    </row>
    <row r="86" spans="1:80" s="49" customFormat="1" ht="43.5" customHeight="1" thickBot="1">
      <c r="A86" s="2655"/>
      <c r="B86" s="2655"/>
      <c r="C86" s="2657"/>
      <c r="D86" s="2693"/>
      <c r="E86" s="264" t="s">
        <v>1338</v>
      </c>
      <c r="F86" s="265">
        <v>100</v>
      </c>
      <c r="G86" s="264" t="s">
        <v>1339</v>
      </c>
      <c r="H86" s="262" t="s">
        <v>1323</v>
      </c>
      <c r="I86" s="65">
        <v>4</v>
      </c>
      <c r="J86" s="134" t="s">
        <v>1340</v>
      </c>
      <c r="K86" s="585">
        <v>42019</v>
      </c>
      <c r="L86" s="62">
        <v>42316</v>
      </c>
      <c r="M86" s="586"/>
      <c r="N86" s="586"/>
      <c r="O86" s="586"/>
      <c r="P86" s="586"/>
      <c r="Q86" s="586"/>
      <c r="R86" s="586"/>
      <c r="S86" s="586"/>
      <c r="T86" s="586"/>
      <c r="U86" s="586"/>
      <c r="V86" s="586"/>
      <c r="W86" s="586">
        <v>1</v>
      </c>
      <c r="X86" s="586"/>
      <c r="Y86" s="538">
        <f t="shared" si="25"/>
        <v>1</v>
      </c>
      <c r="Z86" s="2728"/>
      <c r="AA86" s="611"/>
      <c r="AB86" s="1237">
        <v>0</v>
      </c>
      <c r="AC86" s="1237">
        <v>0</v>
      </c>
      <c r="AD86" s="660"/>
      <c r="AE86" s="660"/>
      <c r="AF86" s="661"/>
      <c r="AG86" s="661"/>
      <c r="AH86" s="662"/>
      <c r="AI86" s="662"/>
      <c r="AJ86" s="663"/>
      <c r="AK86" s="663"/>
      <c r="AL86" s="664"/>
      <c r="AM86" s="664"/>
      <c r="AN86" s="645">
        <f t="shared" si="26"/>
        <v>0</v>
      </c>
      <c r="AO86" s="645">
        <f t="shared" si="41"/>
        <v>0</v>
      </c>
      <c r="AP86" s="632">
        <f t="shared" si="28"/>
        <v>0</v>
      </c>
      <c r="AQ86" s="645" t="s">
        <v>1090</v>
      </c>
      <c r="AR86" s="622">
        <f t="shared" si="43"/>
        <v>0</v>
      </c>
      <c r="AS86" s="1647" t="str">
        <f t="shared" si="44"/>
        <v>-</v>
      </c>
      <c r="AT86" s="1647">
        <f t="shared" si="49"/>
        <v>0</v>
      </c>
      <c r="AU86" s="1215">
        <v>0</v>
      </c>
      <c r="AV86" s="624">
        <v>0</v>
      </c>
      <c r="AW86" s="665" t="s">
        <v>1669</v>
      </c>
      <c r="AX86" s="665"/>
      <c r="AY86" s="1697">
        <f t="shared" si="52"/>
        <v>0</v>
      </c>
      <c r="AZ86" s="1699">
        <f t="shared" si="30"/>
        <v>0</v>
      </c>
      <c r="BA86" s="1708">
        <v>0</v>
      </c>
      <c r="BB86" s="1715" t="s">
        <v>1090</v>
      </c>
      <c r="BC86" s="1715">
        <f>BA86/Y86</f>
        <v>0</v>
      </c>
      <c r="BD86" s="1699">
        <v>0</v>
      </c>
      <c r="BE86" s="1745">
        <v>0</v>
      </c>
      <c r="BF86" s="1692"/>
      <c r="BG86" s="1702"/>
      <c r="BH86" s="1702" t="s">
        <v>2088</v>
      </c>
      <c r="BI86" s="2084">
        <v>0</v>
      </c>
      <c r="BJ86" s="2183">
        <f t="shared" si="33"/>
        <v>0</v>
      </c>
      <c r="BK86" s="2177">
        <v>0.1</v>
      </c>
      <c r="BL86" s="2183" t="s">
        <v>1090</v>
      </c>
      <c r="BM86" s="2085">
        <v>0.1</v>
      </c>
      <c r="BN86" s="2085">
        <v>0.1</v>
      </c>
      <c r="BO86" s="2307">
        <v>0</v>
      </c>
      <c r="BP86" s="2084" t="s">
        <v>1090</v>
      </c>
      <c r="BQ86" s="2178" t="s">
        <v>2687</v>
      </c>
      <c r="BR86" s="1988" t="s">
        <v>2688</v>
      </c>
      <c r="BS86" s="2382">
        <f t="shared" si="51"/>
        <v>0</v>
      </c>
      <c r="BT86" s="2379">
        <f t="shared" si="34"/>
        <v>0</v>
      </c>
      <c r="BU86" s="2384">
        <v>0.30000000000000004</v>
      </c>
      <c r="BV86" s="2379" t="s">
        <v>1090</v>
      </c>
      <c r="BW86" s="2373">
        <v>0.30000000000000004</v>
      </c>
      <c r="BX86" s="2373">
        <f>BU86/Y86</f>
        <v>0.30000000000000004</v>
      </c>
      <c r="BY86" s="2380"/>
      <c r="BZ86" s="2339"/>
      <c r="CA86" s="2381" t="s">
        <v>2936</v>
      </c>
      <c r="CB86" s="2376" t="s">
        <v>1770</v>
      </c>
    </row>
    <row r="87" spans="1:80" s="49" customFormat="1" ht="187.5" customHeight="1" thickBot="1">
      <c r="A87" s="2659"/>
      <c r="B87" s="2659"/>
      <c r="C87" s="2664"/>
      <c r="D87" s="587" t="s">
        <v>1759</v>
      </c>
      <c r="E87" s="264" t="s">
        <v>1760</v>
      </c>
      <c r="F87" s="265">
        <v>10</v>
      </c>
      <c r="G87" s="264" t="s">
        <v>1761</v>
      </c>
      <c r="H87" s="262" t="s">
        <v>1341</v>
      </c>
      <c r="I87" s="65">
        <v>4</v>
      </c>
      <c r="J87" s="134" t="s">
        <v>1762</v>
      </c>
      <c r="K87" s="585">
        <v>42019</v>
      </c>
      <c r="L87" s="62">
        <v>42308</v>
      </c>
      <c r="M87" s="137"/>
      <c r="N87" s="137">
        <v>1</v>
      </c>
      <c r="O87" s="137">
        <v>1</v>
      </c>
      <c r="P87" s="137">
        <v>1</v>
      </c>
      <c r="Q87" s="137">
        <v>1</v>
      </c>
      <c r="R87" s="137">
        <v>1</v>
      </c>
      <c r="S87" s="137">
        <v>1</v>
      </c>
      <c r="T87" s="137">
        <v>1</v>
      </c>
      <c r="U87" s="137">
        <v>1</v>
      </c>
      <c r="V87" s="137">
        <v>1</v>
      </c>
      <c r="W87" s="137">
        <v>1</v>
      </c>
      <c r="X87" s="137"/>
      <c r="Y87" s="506">
        <f aca="true" t="shared" si="56" ref="Y87">SUM(M87:X87)</f>
        <v>10</v>
      </c>
      <c r="Z87" s="75">
        <v>0</v>
      </c>
      <c r="AA87" s="611"/>
      <c r="AB87" s="1257">
        <v>0</v>
      </c>
      <c r="AC87" s="1257">
        <v>1</v>
      </c>
      <c r="AD87" s="753"/>
      <c r="AE87" s="753"/>
      <c r="AF87" s="754"/>
      <c r="AG87" s="754"/>
      <c r="AH87" s="755"/>
      <c r="AI87" s="755"/>
      <c r="AJ87" s="756"/>
      <c r="AK87" s="756"/>
      <c r="AL87" s="757"/>
      <c r="AM87" s="757"/>
      <c r="AN87" s="634">
        <f t="shared" si="26"/>
        <v>1</v>
      </c>
      <c r="AO87" s="645">
        <f t="shared" si="41"/>
        <v>1</v>
      </c>
      <c r="AP87" s="621">
        <f t="shared" si="28"/>
        <v>1</v>
      </c>
      <c r="AQ87" s="645">
        <f t="shared" si="42"/>
        <v>1</v>
      </c>
      <c r="AR87" s="622">
        <f t="shared" si="43"/>
        <v>0.1</v>
      </c>
      <c r="AS87" s="1647">
        <f t="shared" si="44"/>
        <v>1</v>
      </c>
      <c r="AT87" s="1647">
        <f t="shared" si="49"/>
        <v>0.1</v>
      </c>
      <c r="AU87" s="1215">
        <v>0</v>
      </c>
      <c r="AV87" s="624">
        <v>0</v>
      </c>
      <c r="AW87" s="665" t="s">
        <v>1763</v>
      </c>
      <c r="AX87" s="665" t="s">
        <v>1764</v>
      </c>
      <c r="AY87" s="1697">
        <f t="shared" si="52"/>
        <v>3</v>
      </c>
      <c r="AZ87" s="1699">
        <f t="shared" si="30"/>
        <v>1</v>
      </c>
      <c r="BA87" s="1708">
        <v>8</v>
      </c>
      <c r="BB87" s="1715">
        <v>1</v>
      </c>
      <c r="BC87" s="1715">
        <f>BA87/Y87</f>
        <v>0.8</v>
      </c>
      <c r="BD87" s="1699">
        <f t="shared" si="32"/>
        <v>1</v>
      </c>
      <c r="BE87" s="1745">
        <v>0</v>
      </c>
      <c r="BF87" s="1692"/>
      <c r="BG87" s="1702" t="s">
        <v>2089</v>
      </c>
      <c r="BH87" s="1702" t="s">
        <v>1669</v>
      </c>
      <c r="BI87" s="2084">
        <v>5</v>
      </c>
      <c r="BJ87" s="2183">
        <f t="shared" si="33"/>
        <v>1</v>
      </c>
      <c r="BK87" s="2176">
        <v>12</v>
      </c>
      <c r="BL87" s="2183">
        <v>1</v>
      </c>
      <c r="BM87" s="2085">
        <v>1</v>
      </c>
      <c r="BN87" s="2085">
        <v>1</v>
      </c>
      <c r="BO87" s="2307">
        <v>0</v>
      </c>
      <c r="BP87" s="2084" t="s">
        <v>1090</v>
      </c>
      <c r="BQ87" s="2178" t="s">
        <v>2689</v>
      </c>
      <c r="BR87" s="1988" t="s">
        <v>1669</v>
      </c>
      <c r="BS87" s="2440">
        <f t="shared" si="51"/>
        <v>7</v>
      </c>
      <c r="BT87" s="2379">
        <f t="shared" si="34"/>
        <v>1</v>
      </c>
      <c r="BU87" s="2383">
        <v>23</v>
      </c>
      <c r="BV87" s="2379">
        <v>1</v>
      </c>
      <c r="BW87" s="2373">
        <v>1</v>
      </c>
      <c r="BX87" s="2373">
        <v>1</v>
      </c>
      <c r="BY87" s="2380"/>
      <c r="BZ87" s="2339"/>
      <c r="CA87" s="2381" t="s">
        <v>2937</v>
      </c>
      <c r="CB87" s="2376" t="s">
        <v>1770</v>
      </c>
    </row>
    <row r="88" spans="1:80" s="606" customFormat="1" ht="20.1" customHeight="1" thickBot="1">
      <c r="A88" s="2652" t="s">
        <v>130</v>
      </c>
      <c r="B88" s="2653"/>
      <c r="C88" s="2653"/>
      <c r="D88" s="2654"/>
      <c r="E88" s="1194"/>
      <c r="F88" s="1194"/>
      <c r="G88" s="1194"/>
      <c r="H88" s="1194"/>
      <c r="I88" s="1194">
        <f>SUM(I61:I87)</f>
        <v>100</v>
      </c>
      <c r="J88" s="1194"/>
      <c r="K88" s="1194"/>
      <c r="L88" s="1194"/>
      <c r="M88" s="1194"/>
      <c r="N88" s="1194"/>
      <c r="O88" s="1194"/>
      <c r="P88" s="1194"/>
      <c r="Q88" s="1194"/>
      <c r="R88" s="1194"/>
      <c r="S88" s="1194"/>
      <c r="T88" s="1194"/>
      <c r="U88" s="1194"/>
      <c r="V88" s="1194"/>
      <c r="W88" s="1194"/>
      <c r="X88" s="1194"/>
      <c r="Y88" s="1194"/>
      <c r="Z88" s="88">
        <f>SUM(Z61:Z76)+Z78+Z79+Z80+Z81+Z82+Z83+Z84+Z85+Z86+Z87</f>
        <v>422000000</v>
      </c>
      <c r="AA88" s="1195"/>
      <c r="AB88" s="758"/>
      <c r="AC88" s="758"/>
      <c r="AD88" s="758"/>
      <c r="AE88" s="758"/>
      <c r="AF88" s="758"/>
      <c r="AG88" s="758"/>
      <c r="AH88" s="758"/>
      <c r="AI88" s="758"/>
      <c r="AJ88" s="758"/>
      <c r="AK88" s="758"/>
      <c r="AL88" s="758"/>
      <c r="AM88" s="758"/>
      <c r="AN88" s="759"/>
      <c r="AO88" s="1272">
        <f>AVERAGEIF(AO61:AO87,"&gt;0")</f>
        <v>1</v>
      </c>
      <c r="AP88" s="760"/>
      <c r="AQ88" s="1608">
        <f>AVERAGE(AQ61:AQ87)</f>
        <v>1.03</v>
      </c>
      <c r="AR88" s="759"/>
      <c r="AS88" s="1272">
        <f>AVERAGEIF(AS61:AS87,"&gt;=0")</f>
        <v>1.03</v>
      </c>
      <c r="AT88" s="1261">
        <f>AVERAGE(AT61:AT87)</f>
        <v>0.20589786756453418</v>
      </c>
      <c r="AU88" s="1275">
        <f>SUM(AU61:AU87)</f>
        <v>0</v>
      </c>
      <c r="AV88" s="1272" t="e">
        <f>AVERAGEIF(AV61:AV87,"&gt;0")</f>
        <v>#DIV/0!</v>
      </c>
      <c r="AW88" s="760"/>
      <c r="AX88" s="760"/>
      <c r="AY88" s="636"/>
      <c r="AZ88" s="1719">
        <f>AVERAGEIF(AZ61:AZ87,"&gt;0")</f>
        <v>1</v>
      </c>
      <c r="BA88" s="637"/>
      <c r="BB88" s="1262" t="e">
        <f>AVERAGE(BB61:BB87)</f>
        <v>#DIV/0!</v>
      </c>
      <c r="BC88" s="636"/>
      <c r="BD88" s="1261">
        <f>AVERAGE(BD61:BD87)</f>
        <v>0.5384615384615384</v>
      </c>
      <c r="BE88" s="637"/>
      <c r="BF88" s="636"/>
      <c r="BG88" s="637"/>
      <c r="BH88" s="637"/>
      <c r="BI88" s="636"/>
      <c r="BJ88" s="1721">
        <v>1</v>
      </c>
      <c r="BK88" s="636"/>
      <c r="BL88" s="1262">
        <f>AVERAGE(BL61:BL87)</f>
        <v>0.95</v>
      </c>
      <c r="BM88" s="1261"/>
      <c r="BN88" s="1261">
        <f>AVERAGE(BN61:BN87)</f>
        <v>0.5077160493827161</v>
      </c>
      <c r="BO88" s="637"/>
      <c r="BP88" s="637"/>
      <c r="BQ88" s="637"/>
      <c r="BR88" s="637"/>
      <c r="BS88" s="636"/>
      <c r="BT88" s="1721">
        <v>1</v>
      </c>
      <c r="BU88" s="636"/>
      <c r="BV88" s="1262">
        <f>AVERAGE(BV61:BV87)</f>
        <v>1</v>
      </c>
      <c r="BW88" s="1261"/>
      <c r="BX88" s="1261">
        <f>AVERAGE(BX61:BX87)</f>
        <v>0.7114197530864197</v>
      </c>
      <c r="BY88" s="637"/>
      <c r="BZ88" s="637"/>
      <c r="CA88" s="637"/>
      <c r="CB88" s="637"/>
    </row>
    <row r="89" spans="1:80" s="49" customFormat="1" ht="355.5" customHeight="1" thickBot="1">
      <c r="A89" s="2688">
        <v>3</v>
      </c>
      <c r="B89" s="2658" t="s">
        <v>821</v>
      </c>
      <c r="C89" s="607" t="s">
        <v>1342</v>
      </c>
      <c r="D89" s="1210" t="s">
        <v>1560</v>
      </c>
      <c r="E89" s="332" t="s">
        <v>1561</v>
      </c>
      <c r="F89" s="353">
        <v>2</v>
      </c>
      <c r="G89" s="354" t="s">
        <v>1765</v>
      </c>
      <c r="H89" s="355" t="s">
        <v>1343</v>
      </c>
      <c r="I89" s="355">
        <v>50</v>
      </c>
      <c r="J89" s="355" t="s">
        <v>231</v>
      </c>
      <c r="K89" s="356">
        <v>42019</v>
      </c>
      <c r="L89" s="356">
        <v>42369</v>
      </c>
      <c r="M89" s="762"/>
      <c r="N89" s="762"/>
      <c r="O89" s="762"/>
      <c r="P89" s="762"/>
      <c r="Q89" s="762"/>
      <c r="R89" s="762"/>
      <c r="S89" s="762"/>
      <c r="T89" s="762"/>
      <c r="U89" s="762"/>
      <c r="V89" s="762"/>
      <c r="W89" s="762"/>
      <c r="X89" s="762">
        <v>2</v>
      </c>
      <c r="Y89" s="506">
        <f>SUM(M89:X89)</f>
        <v>2</v>
      </c>
      <c r="Z89" s="75">
        <v>0</v>
      </c>
      <c r="AA89" s="763"/>
      <c r="AB89" s="1258">
        <v>0</v>
      </c>
      <c r="AC89" s="1258">
        <v>0</v>
      </c>
      <c r="AD89" s="764"/>
      <c r="AE89" s="764"/>
      <c r="AF89" s="765"/>
      <c r="AG89" s="765"/>
      <c r="AH89" s="766"/>
      <c r="AI89" s="766"/>
      <c r="AJ89" s="767"/>
      <c r="AK89" s="767"/>
      <c r="AL89" s="768"/>
      <c r="AM89" s="768"/>
      <c r="AN89" s="634">
        <f t="shared" si="26"/>
        <v>0</v>
      </c>
      <c r="AO89" s="645">
        <f aca="true" t="shared" si="57" ref="AO89:AO90">IF(AN89=0,0%,100%)</f>
        <v>0</v>
      </c>
      <c r="AP89" s="621">
        <f t="shared" si="28"/>
        <v>0</v>
      </c>
      <c r="AQ89" s="645" t="s">
        <v>1090</v>
      </c>
      <c r="AR89" s="622">
        <f>+AP89/Y89</f>
        <v>0</v>
      </c>
      <c r="AS89" s="1647" t="str">
        <f aca="true" t="shared" si="58" ref="AS89:AS90">IF(AO89&gt;0,AQ89,"-")</f>
        <v>-</v>
      </c>
      <c r="AT89" s="1647">
        <f aca="true" t="shared" si="59" ref="AT89:AT90">AR89</f>
        <v>0</v>
      </c>
      <c r="AU89" s="1215">
        <v>0</v>
      </c>
      <c r="AV89" s="624">
        <v>0</v>
      </c>
      <c r="AW89" s="665" t="s">
        <v>1766</v>
      </c>
      <c r="AX89" s="665" t="s">
        <v>1767</v>
      </c>
      <c r="AY89" s="1692">
        <v>0</v>
      </c>
      <c r="AZ89" s="1699">
        <f t="shared" si="30"/>
        <v>0</v>
      </c>
      <c r="BA89" s="1708">
        <v>0</v>
      </c>
      <c r="BB89" s="1708" t="s">
        <v>1090</v>
      </c>
      <c r="BC89" s="1715">
        <f>BA89/Y89</f>
        <v>0</v>
      </c>
      <c r="BD89" s="1699">
        <v>0</v>
      </c>
      <c r="BE89" s="1745">
        <v>0</v>
      </c>
      <c r="BF89" s="1692"/>
      <c r="BG89" s="1702" t="s">
        <v>2090</v>
      </c>
      <c r="BH89" s="1702" t="s">
        <v>2091</v>
      </c>
      <c r="BI89" s="2084">
        <v>0</v>
      </c>
      <c r="BJ89" s="2183">
        <f t="shared" si="33"/>
        <v>0</v>
      </c>
      <c r="BK89" s="2084">
        <v>2</v>
      </c>
      <c r="BL89" s="2183">
        <v>1</v>
      </c>
      <c r="BM89" s="2085">
        <v>1</v>
      </c>
      <c r="BN89" s="2085">
        <v>1</v>
      </c>
      <c r="BO89" s="2307">
        <v>0</v>
      </c>
      <c r="BP89" s="2174" t="s">
        <v>1090</v>
      </c>
      <c r="BQ89" s="2178" t="s">
        <v>2690</v>
      </c>
      <c r="BR89" s="2178"/>
      <c r="BS89" s="2339">
        <f>SUM(M89:T89)</f>
        <v>0</v>
      </c>
      <c r="BT89" s="2379">
        <f t="shared" si="34"/>
        <v>0</v>
      </c>
      <c r="BU89" s="2339">
        <v>4</v>
      </c>
      <c r="BV89" s="2379" t="s">
        <v>1090</v>
      </c>
      <c r="BW89" s="2373">
        <v>1</v>
      </c>
      <c r="BX89" s="2373">
        <v>1</v>
      </c>
      <c r="BY89" s="2380"/>
      <c r="BZ89" s="2389"/>
      <c r="CA89" s="2381" t="s">
        <v>2938</v>
      </c>
      <c r="CB89" s="2381" t="s">
        <v>1770</v>
      </c>
    </row>
    <row r="90" spans="1:80" s="49" customFormat="1" ht="279" customHeight="1" thickBot="1">
      <c r="A90" s="2689"/>
      <c r="B90" s="2655"/>
      <c r="C90" s="1196" t="s">
        <v>1768</v>
      </c>
      <c r="D90" s="250" t="s">
        <v>1562</v>
      </c>
      <c r="E90" s="588" t="s">
        <v>1563</v>
      </c>
      <c r="F90" s="255">
        <v>32</v>
      </c>
      <c r="G90" s="258" t="s">
        <v>1564</v>
      </c>
      <c r="H90" s="54" t="s">
        <v>1343</v>
      </c>
      <c r="I90" s="150">
        <v>50</v>
      </c>
      <c r="J90" s="150" t="s">
        <v>1565</v>
      </c>
      <c r="K90" s="443">
        <v>42019</v>
      </c>
      <c r="L90" s="446">
        <v>42368</v>
      </c>
      <c r="M90" s="370"/>
      <c r="N90" s="371"/>
      <c r="O90" s="372"/>
      <c r="P90" s="1204"/>
      <c r="Q90" s="371"/>
      <c r="R90" s="1204"/>
      <c r="S90" s="371"/>
      <c r="T90" s="372"/>
      <c r="U90" s="374"/>
      <c r="V90" s="375"/>
      <c r="W90" s="374">
        <v>32</v>
      </c>
      <c r="X90" s="376"/>
      <c r="Y90" s="769">
        <f aca="true" t="shared" si="60" ref="Y90">SUM(M90:X90)</f>
        <v>32</v>
      </c>
      <c r="Z90" s="96">
        <v>20000000</v>
      </c>
      <c r="AA90" s="97"/>
      <c r="AB90" s="1259">
        <v>0</v>
      </c>
      <c r="AC90" s="1260">
        <v>0</v>
      </c>
      <c r="AD90" s="770"/>
      <c r="AE90" s="771"/>
      <c r="AF90" s="772"/>
      <c r="AG90" s="773"/>
      <c r="AH90" s="774"/>
      <c r="AI90" s="775"/>
      <c r="AJ90" s="776"/>
      <c r="AK90" s="777"/>
      <c r="AL90" s="778"/>
      <c r="AM90" s="779"/>
      <c r="AN90" s="634">
        <f t="shared" si="26"/>
        <v>0</v>
      </c>
      <c r="AO90" s="645">
        <f t="shared" si="57"/>
        <v>0</v>
      </c>
      <c r="AP90" s="621">
        <f t="shared" si="28"/>
        <v>0</v>
      </c>
      <c r="AQ90" s="645" t="s">
        <v>1090</v>
      </c>
      <c r="AR90" s="622">
        <f>+AP90/Y90</f>
        <v>0</v>
      </c>
      <c r="AS90" s="1647" t="str">
        <f t="shared" si="58"/>
        <v>-</v>
      </c>
      <c r="AT90" s="1647">
        <f t="shared" si="59"/>
        <v>0</v>
      </c>
      <c r="AU90" s="1215">
        <v>0</v>
      </c>
      <c r="AV90" s="624">
        <v>0</v>
      </c>
      <c r="AW90" s="665" t="s">
        <v>1769</v>
      </c>
      <c r="AX90" s="665" t="s">
        <v>1770</v>
      </c>
      <c r="AY90" s="1692">
        <v>0</v>
      </c>
      <c r="AZ90" s="1699">
        <f t="shared" si="30"/>
        <v>0</v>
      </c>
      <c r="BA90" s="1708">
        <v>0</v>
      </c>
      <c r="BB90" s="1708" t="s">
        <v>1090</v>
      </c>
      <c r="BC90" s="1715">
        <f>BA90/Y90</f>
        <v>0</v>
      </c>
      <c r="BD90" s="1699">
        <v>0</v>
      </c>
      <c r="BE90" s="1745">
        <v>0</v>
      </c>
      <c r="BF90" s="1692"/>
      <c r="BG90" s="1702" t="s">
        <v>2092</v>
      </c>
      <c r="BH90" s="1702" t="s">
        <v>1669</v>
      </c>
      <c r="BI90" s="2084">
        <v>0</v>
      </c>
      <c r="BJ90" s="2183">
        <f t="shared" si="33"/>
        <v>0</v>
      </c>
      <c r="BK90" s="2084">
        <v>0</v>
      </c>
      <c r="BL90" s="2183" t="s">
        <v>1090</v>
      </c>
      <c r="BM90" s="2085">
        <v>0</v>
      </c>
      <c r="BN90" s="2085">
        <v>0</v>
      </c>
      <c r="BO90" s="2307">
        <v>0</v>
      </c>
      <c r="BP90" s="2174" t="s">
        <v>1090</v>
      </c>
      <c r="BQ90" s="2178" t="s">
        <v>2691</v>
      </c>
      <c r="BR90" s="2178" t="s">
        <v>2692</v>
      </c>
      <c r="BS90" s="2339">
        <f>SUM(M90:T90)</f>
        <v>0</v>
      </c>
      <c r="BT90" s="2379">
        <f t="shared" si="34"/>
        <v>0</v>
      </c>
      <c r="BU90" s="2339">
        <v>0</v>
      </c>
      <c r="BV90" s="2379" t="s">
        <v>1090</v>
      </c>
      <c r="BW90" s="2373">
        <v>0</v>
      </c>
      <c r="BX90" s="2373">
        <v>0</v>
      </c>
      <c r="BY90" s="2380"/>
      <c r="BZ90" s="2389"/>
      <c r="CA90" s="2381" t="s">
        <v>2939</v>
      </c>
      <c r="CB90" s="2381" t="s">
        <v>1770</v>
      </c>
    </row>
    <row r="91" spans="1:80" s="606" customFormat="1" ht="20.1" customHeight="1" thickBot="1">
      <c r="A91" s="2652" t="s">
        <v>130</v>
      </c>
      <c r="B91" s="2653"/>
      <c r="C91" s="2653"/>
      <c r="D91" s="2654"/>
      <c r="E91" s="1194"/>
      <c r="F91" s="1194"/>
      <c r="G91" s="1194"/>
      <c r="H91" s="1194"/>
      <c r="I91" s="1194">
        <f>SUM(I89:I90)</f>
        <v>100</v>
      </c>
      <c r="J91" s="1194"/>
      <c r="K91" s="1194"/>
      <c r="L91" s="1194"/>
      <c r="M91" s="1194"/>
      <c r="N91" s="1194"/>
      <c r="O91" s="1194"/>
      <c r="P91" s="1194"/>
      <c r="Q91" s="1194"/>
      <c r="R91" s="1194"/>
      <c r="S91" s="1194"/>
      <c r="T91" s="1194"/>
      <c r="U91" s="1194"/>
      <c r="V91" s="1194"/>
      <c r="W91" s="1194"/>
      <c r="X91" s="1194"/>
      <c r="Y91" s="1194"/>
      <c r="Z91" s="88">
        <f>SUM(Z89:Z90)</f>
        <v>20000000</v>
      </c>
      <c r="AA91" s="1195"/>
      <c r="AB91" s="1195"/>
      <c r="AC91" s="1195"/>
      <c r="AD91" s="1195"/>
      <c r="AE91" s="1195"/>
      <c r="AF91" s="1195"/>
      <c r="AG91" s="1195"/>
      <c r="AH91" s="1195"/>
      <c r="AI91" s="1195"/>
      <c r="AJ91" s="1195"/>
      <c r="AK91" s="1195"/>
      <c r="AL91" s="1195"/>
      <c r="AM91" s="1195"/>
      <c r="AN91" s="759"/>
      <c r="AO91" s="1272" t="e">
        <f>AVERAGEIF(AO89:AO90,"&gt;0")</f>
        <v>#DIV/0!</v>
      </c>
      <c r="AP91" s="759"/>
      <c r="AQ91" s="759" t="s">
        <v>1090</v>
      </c>
      <c r="AR91" s="759"/>
      <c r="AS91" s="1272" t="e">
        <f>AVERAGEIF(AS89:AS90,"&gt;=0")</f>
        <v>#DIV/0!</v>
      </c>
      <c r="AT91" s="1261">
        <f>AVERAGE(AT89:AT90)</f>
        <v>0</v>
      </c>
      <c r="AU91" s="1275">
        <f>SUM(AU89:AU90)</f>
        <v>0</v>
      </c>
      <c r="AV91" s="1272" t="e">
        <f>AVERAGEIF(AV89:AV90,"&gt;0")</f>
        <v>#DIV/0!</v>
      </c>
      <c r="AW91" s="759"/>
      <c r="AX91" s="759"/>
      <c r="AY91" s="636"/>
      <c r="AZ91" s="1721">
        <f>AVERAGEIF(AZ64:AZ90,"&gt;0")</f>
        <v>1</v>
      </c>
      <c r="BA91" s="636"/>
      <c r="BB91" s="1721" t="s">
        <v>1090</v>
      </c>
      <c r="BC91" s="636"/>
      <c r="BD91" s="1261">
        <f>AVERAGE(BD89:BD90)</f>
        <v>0</v>
      </c>
      <c r="BE91" s="636"/>
      <c r="BF91" s="636"/>
      <c r="BG91" s="636"/>
      <c r="BH91" s="636"/>
      <c r="BI91" s="636"/>
      <c r="BJ91" s="1721">
        <v>1</v>
      </c>
      <c r="BK91" s="636"/>
      <c r="BL91" s="1261">
        <f>AVERAGE(BL89:BL90)</f>
        <v>1</v>
      </c>
      <c r="BM91" s="1261"/>
      <c r="BN91" s="1261">
        <f>AVERAGE(BN89:BN90)</f>
        <v>0.5</v>
      </c>
      <c r="BO91" s="636"/>
      <c r="BP91" s="636"/>
      <c r="BQ91" s="636"/>
      <c r="BR91" s="636"/>
      <c r="BS91" s="636"/>
      <c r="BT91" s="1721">
        <v>1</v>
      </c>
      <c r="BU91" s="636"/>
      <c r="BV91" s="1261" t="s">
        <v>1090</v>
      </c>
      <c r="BW91" s="1261"/>
      <c r="BX91" s="1261">
        <f>AVERAGE(BX89:BX90)</f>
        <v>0.5</v>
      </c>
      <c r="BY91" s="636"/>
      <c r="BZ91" s="636"/>
      <c r="CA91" s="636"/>
      <c r="CB91" s="636"/>
    </row>
    <row r="92" spans="1:80" s="606" customFormat="1" ht="20.1" customHeight="1" thickBot="1">
      <c r="A92" s="2660" t="s">
        <v>290</v>
      </c>
      <c r="B92" s="2661"/>
      <c r="C92" s="2661"/>
      <c r="D92" s="2662"/>
      <c r="E92" s="219"/>
      <c r="F92" s="219"/>
      <c r="G92" s="219"/>
      <c r="H92" s="1208"/>
      <c r="I92" s="1208"/>
      <c r="J92" s="1208"/>
      <c r="K92" s="1208"/>
      <c r="L92" s="1208"/>
      <c r="M92" s="1208"/>
      <c r="N92" s="1208"/>
      <c r="O92" s="1208"/>
      <c r="P92" s="1208"/>
      <c r="Q92" s="1208"/>
      <c r="R92" s="1208"/>
      <c r="S92" s="1208"/>
      <c r="T92" s="1208"/>
      <c r="U92" s="1208"/>
      <c r="V92" s="1208"/>
      <c r="W92" s="1208"/>
      <c r="X92" s="1208"/>
      <c r="Y92" s="1208"/>
      <c r="Z92" s="223">
        <f>SUM(Z60,Z88,Z91)</f>
        <v>5034344156</v>
      </c>
      <c r="AA92" s="1209"/>
      <c r="AB92" s="1209"/>
      <c r="AC92" s="1209"/>
      <c r="AD92" s="1209"/>
      <c r="AE92" s="1209"/>
      <c r="AF92" s="1209"/>
      <c r="AG92" s="1209"/>
      <c r="AH92" s="1209"/>
      <c r="AI92" s="1209"/>
      <c r="AJ92" s="1209"/>
      <c r="AK92" s="1209"/>
      <c r="AL92" s="1209"/>
      <c r="AM92" s="1209"/>
      <c r="AN92" s="652"/>
      <c r="AO92" s="652"/>
      <c r="AP92" s="652"/>
      <c r="AQ92" s="1279">
        <f>AVERAGE(AQ91,AQ88,AQ60)</f>
        <v>0.8422108843537415</v>
      </c>
      <c r="AR92" s="652"/>
      <c r="AS92" s="652"/>
      <c r="AT92" s="1279">
        <f>AVERAGE(AT91,AT88,AT60)</f>
        <v>0.16037056214180392</v>
      </c>
      <c r="AU92" s="1278">
        <f>SUM(AU60,AU88,AU91)</f>
        <v>1197897843</v>
      </c>
      <c r="AV92" s="1279" t="e">
        <f>AVERAGE(AV60,AV88,AV91)</f>
        <v>#DIV/0!</v>
      </c>
      <c r="AW92" s="652"/>
      <c r="AX92" s="652"/>
      <c r="AY92" s="1662"/>
      <c r="AZ92" s="1279">
        <f>AVERAGE(AZ91,AZ88,AZ60)</f>
        <v>1</v>
      </c>
      <c r="BA92" s="1662"/>
      <c r="BB92" s="1279" t="e">
        <f>AVERAGE(BB91,BB88,BB60)</f>
        <v>#DIV/0!</v>
      </c>
      <c r="BC92" s="1662"/>
      <c r="BD92" s="1279">
        <f>AVERAGE(BD91,BD88,BD60)</f>
        <v>0.3860924022214345</v>
      </c>
      <c r="BE92" s="1662"/>
      <c r="BF92" s="1662"/>
      <c r="BG92" s="652"/>
      <c r="BH92" s="652"/>
      <c r="BI92" s="652"/>
      <c r="BJ92" s="2186">
        <v>1</v>
      </c>
      <c r="BK92" s="652"/>
      <c r="BL92" s="1279">
        <f>AVERAGE(BL91,BL88,BL60)</f>
        <v>0.9287427626137305</v>
      </c>
      <c r="BM92" s="1279"/>
      <c r="BN92" s="1279">
        <f>AVERAGE(BN91,BN88,BN60)</f>
        <v>0.4844767783656672</v>
      </c>
      <c r="BO92" s="652"/>
      <c r="BP92" s="652"/>
      <c r="BQ92" s="652"/>
      <c r="BR92" s="652"/>
      <c r="BS92" s="652"/>
      <c r="BT92" s="2186">
        <v>1</v>
      </c>
      <c r="BU92" s="652"/>
      <c r="BV92" s="2320">
        <f>AVERAGE(BV91,BV88,BV60)</f>
        <v>0.8953496503496503</v>
      </c>
      <c r="BW92" s="2320"/>
      <c r="BX92" s="2320">
        <f>AVERAGE(BX91,BX88,BX60)</f>
        <v>0.5859946017913338</v>
      </c>
      <c r="BY92" s="652"/>
      <c r="BZ92" s="652"/>
      <c r="CA92" s="652"/>
      <c r="CB92" s="652"/>
    </row>
    <row r="93" spans="1:77" s="13" customFormat="1" ht="9.95" customHeight="1" thickBot="1">
      <c r="A93" s="2663"/>
      <c r="B93" s="2663"/>
      <c r="C93" s="2663"/>
      <c r="D93" s="2663"/>
      <c r="E93" s="2663"/>
      <c r="F93" s="2663"/>
      <c r="G93" s="2663"/>
      <c r="H93" s="2663"/>
      <c r="I93" s="2663"/>
      <c r="J93" s="2663"/>
      <c r="K93" s="2663"/>
      <c r="L93" s="2663"/>
      <c r="M93" s="2663"/>
      <c r="N93" s="2663"/>
      <c r="O93" s="2663"/>
      <c r="P93" s="2663"/>
      <c r="Q93" s="2663"/>
      <c r="R93" s="2663"/>
      <c r="S93" s="2663"/>
      <c r="T93" s="2663"/>
      <c r="U93" s="2663"/>
      <c r="V93" s="2663"/>
      <c r="W93" s="2663"/>
      <c r="X93" s="2663"/>
      <c r="Y93" s="2663"/>
      <c r="Z93" s="2663"/>
      <c r="AA93" s="2663"/>
      <c r="AB93" s="1199"/>
      <c r="AC93" s="1199"/>
      <c r="AD93" s="1199"/>
      <c r="AE93" s="1199"/>
      <c r="AF93" s="1199"/>
      <c r="AG93" s="1199"/>
      <c r="AH93" s="1199"/>
      <c r="AI93" s="1199"/>
      <c r="AJ93" s="1199"/>
      <c r="AK93" s="1199"/>
      <c r="AL93" s="1199"/>
      <c r="AM93" s="1199"/>
      <c r="AN93" s="655"/>
      <c r="AO93" s="655"/>
      <c r="AP93" s="655"/>
      <c r="AQ93" s="655"/>
      <c r="AR93" s="655"/>
      <c r="AS93" s="655"/>
      <c r="AT93" s="655"/>
      <c r="AU93" s="655"/>
      <c r="AV93" s="655"/>
      <c r="AW93" s="655"/>
      <c r="AX93" s="655"/>
      <c r="AY93" s="656"/>
      <c r="AZ93" s="656"/>
      <c r="BA93" s="656"/>
      <c r="BB93" s="656"/>
      <c r="BC93" s="656"/>
      <c r="BD93" s="656"/>
      <c r="BE93" s="656"/>
      <c r="BF93" s="656"/>
      <c r="BG93" s="656"/>
      <c r="BH93" s="656"/>
      <c r="BI93" s="656"/>
      <c r="BJ93" s="656"/>
      <c r="BK93" s="656"/>
      <c r="BL93" s="656"/>
      <c r="BM93" s="656"/>
      <c r="BN93" s="656"/>
      <c r="BO93" s="656"/>
      <c r="BS93" s="656"/>
      <c r="BT93" s="656"/>
      <c r="BU93" s="656"/>
      <c r="BV93" s="656"/>
      <c r="BW93" s="656"/>
      <c r="BX93" s="656"/>
      <c r="BY93" s="656"/>
    </row>
    <row r="94" spans="1:80" s="4" customFormat="1" ht="21" customHeight="1" thickBot="1">
      <c r="A94" s="2670" t="s">
        <v>9</v>
      </c>
      <c r="B94" s="2670"/>
      <c r="C94" s="2670"/>
      <c r="D94" s="2670"/>
      <c r="E94" s="2648" t="s">
        <v>292</v>
      </c>
      <c r="F94" s="2649"/>
      <c r="G94" s="2649"/>
      <c r="H94" s="2649"/>
      <c r="I94" s="2649"/>
      <c r="J94" s="2649"/>
      <c r="K94" s="2649"/>
      <c r="L94" s="2649"/>
      <c r="M94" s="2649"/>
      <c r="N94" s="2649"/>
      <c r="O94" s="2649"/>
      <c r="P94" s="2649"/>
      <c r="Q94" s="2649"/>
      <c r="R94" s="2649"/>
      <c r="S94" s="2649"/>
      <c r="T94" s="2649"/>
      <c r="U94" s="2649"/>
      <c r="V94" s="2649"/>
      <c r="W94" s="2649"/>
      <c r="X94" s="2649"/>
      <c r="Y94" s="2649"/>
      <c r="Z94" s="2649"/>
      <c r="AA94" s="2650"/>
      <c r="AB94" s="1193"/>
      <c r="AC94" s="1193"/>
      <c r="AD94" s="1193"/>
      <c r="AE94" s="1193"/>
      <c r="AF94" s="1193"/>
      <c r="AG94" s="1193"/>
      <c r="AH94" s="1193"/>
      <c r="AI94" s="1193"/>
      <c r="AJ94" s="1193"/>
      <c r="AK94" s="1193"/>
      <c r="AL94" s="1193"/>
      <c r="AM94" s="1193"/>
      <c r="AN94" s="2679" t="s">
        <v>292</v>
      </c>
      <c r="AO94" s="2679"/>
      <c r="AP94" s="2679"/>
      <c r="AQ94" s="2679"/>
      <c r="AR94" s="2679"/>
      <c r="AS94" s="2679"/>
      <c r="AT94" s="2679"/>
      <c r="AU94" s="2679"/>
      <c r="AV94" s="2679"/>
      <c r="AW94" s="2679"/>
      <c r="AX94" s="2679"/>
      <c r="AY94" s="2679" t="s">
        <v>292</v>
      </c>
      <c r="AZ94" s="2679"/>
      <c r="BA94" s="2679"/>
      <c r="BB94" s="2679"/>
      <c r="BC94" s="2679"/>
      <c r="BD94" s="2679"/>
      <c r="BE94" s="2679"/>
      <c r="BF94" s="2679"/>
      <c r="BG94" s="2679"/>
      <c r="BH94" s="2679"/>
      <c r="BI94" s="2680" t="s">
        <v>292</v>
      </c>
      <c r="BJ94" s="2681"/>
      <c r="BK94" s="2681"/>
      <c r="BL94" s="2681"/>
      <c r="BM94" s="2681"/>
      <c r="BN94" s="2681"/>
      <c r="BO94" s="2681"/>
      <c r="BP94" s="2681"/>
      <c r="BQ94" s="2681"/>
      <c r="BR94" s="2682"/>
      <c r="BS94" s="2680" t="s">
        <v>292</v>
      </c>
      <c r="BT94" s="2681"/>
      <c r="BU94" s="2681"/>
      <c r="BV94" s="2681"/>
      <c r="BW94" s="2681"/>
      <c r="BX94" s="2681"/>
      <c r="BY94" s="2681"/>
      <c r="BZ94" s="2681"/>
      <c r="CA94" s="2681"/>
      <c r="CB94" s="2682"/>
    </row>
    <row r="95" spans="1:77" s="13" customFormat="1" ht="9.95" customHeight="1" thickBot="1">
      <c r="A95" s="2663"/>
      <c r="B95" s="2663"/>
      <c r="C95" s="2663"/>
      <c r="D95" s="2663"/>
      <c r="E95" s="2663"/>
      <c r="F95" s="2663"/>
      <c r="G95" s="2663"/>
      <c r="H95" s="2663"/>
      <c r="I95" s="2663"/>
      <c r="J95" s="2663"/>
      <c r="K95" s="2663"/>
      <c r="L95" s="2663"/>
      <c r="M95" s="2663"/>
      <c r="N95" s="2663"/>
      <c r="O95" s="2663"/>
      <c r="P95" s="2663"/>
      <c r="Q95" s="2663"/>
      <c r="R95" s="2663"/>
      <c r="S95" s="2663"/>
      <c r="T95" s="2663"/>
      <c r="U95" s="2663"/>
      <c r="V95" s="2663"/>
      <c r="W95" s="2663"/>
      <c r="X95" s="2663"/>
      <c r="Y95" s="2663"/>
      <c r="Z95" s="2663"/>
      <c r="AA95" s="2663"/>
      <c r="AB95" s="1199"/>
      <c r="AC95" s="1199"/>
      <c r="AD95" s="1199"/>
      <c r="AE95" s="1199"/>
      <c r="AF95" s="1199"/>
      <c r="AG95" s="1199"/>
      <c r="AH95" s="1199"/>
      <c r="AI95" s="1199"/>
      <c r="AJ95" s="1199"/>
      <c r="AK95" s="1199"/>
      <c r="AL95" s="1199"/>
      <c r="AM95" s="1199"/>
      <c r="AN95" s="654"/>
      <c r="AO95" s="654"/>
      <c r="AP95" s="654"/>
      <c r="AQ95" s="654"/>
      <c r="AR95" s="654"/>
      <c r="AS95" s="654"/>
      <c r="AT95" s="654"/>
      <c r="AU95" s="654"/>
      <c r="AV95" s="654"/>
      <c r="AW95" s="654"/>
      <c r="AX95" s="654"/>
      <c r="AY95" s="654"/>
      <c r="AZ95" s="654"/>
      <c r="BA95" s="654"/>
      <c r="BB95" s="654"/>
      <c r="BC95" s="654"/>
      <c r="BD95" s="654"/>
      <c r="BE95" s="654"/>
      <c r="BF95" s="654"/>
      <c r="BG95" s="654"/>
      <c r="BH95" s="654"/>
      <c r="BI95" s="654"/>
      <c r="BJ95" s="654"/>
      <c r="BK95" s="654"/>
      <c r="BL95" s="654"/>
      <c r="BM95" s="654"/>
      <c r="BN95" s="654"/>
      <c r="BO95" s="654"/>
      <c r="BS95" s="654"/>
      <c r="BT95" s="654"/>
      <c r="BU95" s="654"/>
      <c r="BV95" s="654"/>
      <c r="BW95" s="654"/>
      <c r="BX95" s="654"/>
      <c r="BY95" s="654"/>
    </row>
    <row r="96" spans="1:80" s="35" customFormat="1" ht="56.25" customHeight="1" thickBot="1">
      <c r="A96" s="22" t="s">
        <v>11</v>
      </c>
      <c r="B96" s="396" t="s">
        <v>12</v>
      </c>
      <c r="C96" s="22" t="s">
        <v>13</v>
      </c>
      <c r="D96" s="322" t="s">
        <v>14</v>
      </c>
      <c r="E96" s="322" t="s">
        <v>15</v>
      </c>
      <c r="F96" s="322" t="s">
        <v>16</v>
      </c>
      <c r="G96" s="322" t="s">
        <v>17</v>
      </c>
      <c r="H96" s="322" t="s">
        <v>18</v>
      </c>
      <c r="I96" s="322" t="s">
        <v>19</v>
      </c>
      <c r="J96" s="322" t="s">
        <v>20</v>
      </c>
      <c r="K96" s="322" t="s">
        <v>21</v>
      </c>
      <c r="L96" s="322" t="s">
        <v>22</v>
      </c>
      <c r="M96" s="484" t="s">
        <v>23</v>
      </c>
      <c r="N96" s="484" t="s">
        <v>24</v>
      </c>
      <c r="O96" s="484" t="s">
        <v>25</v>
      </c>
      <c r="P96" s="484" t="s">
        <v>26</v>
      </c>
      <c r="Q96" s="484" t="s">
        <v>27</v>
      </c>
      <c r="R96" s="484" t="s">
        <v>28</v>
      </c>
      <c r="S96" s="484" t="s">
        <v>29</v>
      </c>
      <c r="T96" s="484" t="s">
        <v>30</v>
      </c>
      <c r="U96" s="484" t="s">
        <v>31</v>
      </c>
      <c r="V96" s="484" t="s">
        <v>32</v>
      </c>
      <c r="W96" s="484" t="s">
        <v>33</v>
      </c>
      <c r="X96" s="484" t="s">
        <v>34</v>
      </c>
      <c r="Y96" s="322" t="s">
        <v>35</v>
      </c>
      <c r="Z96" s="485" t="s">
        <v>36</v>
      </c>
      <c r="AA96" s="322" t="s">
        <v>37</v>
      </c>
      <c r="AB96" s="1213" t="s">
        <v>23</v>
      </c>
      <c r="AC96" s="1213" t="s">
        <v>24</v>
      </c>
      <c r="AD96" s="397"/>
      <c r="AE96" s="397"/>
      <c r="AF96" s="397"/>
      <c r="AG96" s="397"/>
      <c r="AH96" s="397"/>
      <c r="AI96" s="397"/>
      <c r="AJ96" s="397"/>
      <c r="AK96" s="397"/>
      <c r="AL96" s="397"/>
      <c r="AM96" s="397"/>
      <c r="AN96" s="613" t="s">
        <v>1787</v>
      </c>
      <c r="AO96" s="613" t="s">
        <v>1781</v>
      </c>
      <c r="AP96" s="613" t="s">
        <v>39</v>
      </c>
      <c r="AQ96" s="613" t="s">
        <v>1786</v>
      </c>
      <c r="AR96" s="613" t="s">
        <v>1785</v>
      </c>
      <c r="AS96" s="613" t="s">
        <v>1782</v>
      </c>
      <c r="AT96" s="613" t="s">
        <v>1783</v>
      </c>
      <c r="AU96" s="613" t="s">
        <v>41</v>
      </c>
      <c r="AV96" s="613" t="s">
        <v>42</v>
      </c>
      <c r="AW96" s="613" t="s">
        <v>43</v>
      </c>
      <c r="AX96" s="613" t="s">
        <v>44</v>
      </c>
      <c r="AY96" s="614" t="s">
        <v>45</v>
      </c>
      <c r="AZ96" s="614" t="s">
        <v>1781</v>
      </c>
      <c r="BA96" s="614" t="s">
        <v>46</v>
      </c>
      <c r="BB96" s="614" t="s">
        <v>2024</v>
      </c>
      <c r="BC96" s="614" t="s">
        <v>1785</v>
      </c>
      <c r="BD96" s="614" t="s">
        <v>2195</v>
      </c>
      <c r="BE96" s="614" t="s">
        <v>41</v>
      </c>
      <c r="BF96" s="614" t="s">
        <v>42</v>
      </c>
      <c r="BG96" s="614" t="s">
        <v>43</v>
      </c>
      <c r="BH96" s="614" t="s">
        <v>44</v>
      </c>
      <c r="BI96" s="2067" t="s">
        <v>47</v>
      </c>
      <c r="BJ96" s="2067" t="s">
        <v>1781</v>
      </c>
      <c r="BK96" s="2067" t="s">
        <v>48</v>
      </c>
      <c r="BL96" s="2067" t="s">
        <v>2621</v>
      </c>
      <c r="BM96" s="2067" t="s">
        <v>1785</v>
      </c>
      <c r="BN96" s="2067" t="s">
        <v>2622</v>
      </c>
      <c r="BO96" s="2067" t="s">
        <v>41</v>
      </c>
      <c r="BP96" s="2067" t="s">
        <v>42</v>
      </c>
      <c r="BQ96" s="2067" t="s">
        <v>43</v>
      </c>
      <c r="BR96" s="2067" t="s">
        <v>44</v>
      </c>
      <c r="BS96" s="2367" t="s">
        <v>49</v>
      </c>
      <c r="BT96" s="2367" t="s">
        <v>1781</v>
      </c>
      <c r="BU96" s="2367" t="s">
        <v>50</v>
      </c>
      <c r="BV96" s="2367" t="s">
        <v>2857</v>
      </c>
      <c r="BW96" s="2367" t="s">
        <v>1785</v>
      </c>
      <c r="BX96" s="2367" t="s">
        <v>2858</v>
      </c>
      <c r="BY96" s="2367" t="s">
        <v>41</v>
      </c>
      <c r="BZ96" s="2367" t="s">
        <v>42</v>
      </c>
      <c r="CA96" s="2367" t="s">
        <v>43</v>
      </c>
      <c r="CB96" s="2367" t="s">
        <v>44</v>
      </c>
    </row>
    <row r="97" spans="1:80" s="796" customFormat="1" ht="131.25" customHeight="1" thickBot="1">
      <c r="A97" s="780">
        <v>1</v>
      </c>
      <c r="B97" s="780" t="s">
        <v>228</v>
      </c>
      <c r="C97" s="781" t="s">
        <v>237</v>
      </c>
      <c r="D97" s="782" t="s">
        <v>545</v>
      </c>
      <c r="E97" s="783" t="s">
        <v>148</v>
      </c>
      <c r="F97" s="784" t="s">
        <v>149</v>
      </c>
      <c r="G97" s="785" t="s">
        <v>150</v>
      </c>
      <c r="H97" s="786" t="s">
        <v>1345</v>
      </c>
      <c r="I97" s="787">
        <v>1</v>
      </c>
      <c r="J97" s="788" t="s">
        <v>260</v>
      </c>
      <c r="K97" s="789">
        <v>42006</v>
      </c>
      <c r="L97" s="789">
        <v>42369</v>
      </c>
      <c r="M97" s="790">
        <v>1</v>
      </c>
      <c r="N97" s="790"/>
      <c r="O97" s="790"/>
      <c r="P97" s="790">
        <v>1</v>
      </c>
      <c r="Q97" s="790"/>
      <c r="R97" s="790"/>
      <c r="S97" s="790">
        <v>1</v>
      </c>
      <c r="T97" s="790"/>
      <c r="U97" s="791"/>
      <c r="V97" s="791"/>
      <c r="W97" s="791"/>
      <c r="X97" s="791"/>
      <c r="Y97" s="792">
        <f aca="true" t="shared" si="61" ref="Y97:Y99">SUM(M97:X97)</f>
        <v>3</v>
      </c>
      <c r="Z97" s="793">
        <v>0</v>
      </c>
      <c r="AA97" s="794" t="s">
        <v>1090</v>
      </c>
      <c r="AB97" s="1259">
        <v>1</v>
      </c>
      <c r="AC97" s="1260">
        <v>0</v>
      </c>
      <c r="AD97" s="770"/>
      <c r="AE97" s="771"/>
      <c r="AF97" s="772"/>
      <c r="AG97" s="773"/>
      <c r="AH97" s="774"/>
      <c r="AI97" s="775"/>
      <c r="AJ97" s="776"/>
      <c r="AK97" s="777"/>
      <c r="AL97" s="778"/>
      <c r="AM97" s="779"/>
      <c r="AN97" s="634">
        <f>SUM(M97:N97)</f>
        <v>1</v>
      </c>
      <c r="AO97" s="645">
        <f aca="true" t="shared" si="62" ref="AO97">IF(AN97=0,0%,100%)</f>
        <v>1</v>
      </c>
      <c r="AP97" s="621">
        <f aca="true" t="shared" si="63" ref="AP97">SUM(AB97:AC97)</f>
        <v>1</v>
      </c>
      <c r="AQ97" s="645">
        <f aca="true" t="shared" si="64" ref="AQ97">AP97/AN97</f>
        <v>1</v>
      </c>
      <c r="AR97" s="622">
        <f>+AP97/AN97</f>
        <v>1</v>
      </c>
      <c r="AS97" s="1647">
        <f aca="true" t="shared" si="65" ref="AS97:AS104">IF(AO97&gt;0,AR97,"-")</f>
        <v>1</v>
      </c>
      <c r="AT97" s="1647">
        <f aca="true" t="shared" si="66" ref="AT97">AR97</f>
        <v>1</v>
      </c>
      <c r="AU97" s="1215">
        <v>0</v>
      </c>
      <c r="AV97" s="624">
        <v>0</v>
      </c>
      <c r="AW97" s="665" t="s">
        <v>1771</v>
      </c>
      <c r="AX97" s="665"/>
      <c r="AY97" s="1712">
        <v>2</v>
      </c>
      <c r="AZ97" s="1717">
        <f aca="true" t="shared" si="67" ref="AZ97:AZ104">IF(AY97=0,0%,100%)</f>
        <v>1</v>
      </c>
      <c r="BA97" s="1712">
        <v>2</v>
      </c>
      <c r="BB97" s="1717">
        <f>BA97/AY97</f>
        <v>1</v>
      </c>
      <c r="BC97" s="1717" t="s">
        <v>1090</v>
      </c>
      <c r="BD97" s="1718" t="s">
        <v>1090</v>
      </c>
      <c r="BE97" s="1744">
        <v>0</v>
      </c>
      <c r="BF97" s="1713"/>
      <c r="BG97" s="1705" t="s">
        <v>2093</v>
      </c>
      <c r="BH97" s="1702" t="s">
        <v>1669</v>
      </c>
      <c r="BI97" s="2084">
        <v>2</v>
      </c>
      <c r="BJ97" s="2183">
        <f aca="true" t="shared" si="68" ref="BJ97:BJ104">IF(BI97=0,0%,100%)</f>
        <v>1</v>
      </c>
      <c r="BK97" s="2176">
        <f>SUM(AJ97:AO97)</f>
        <v>2</v>
      </c>
      <c r="BL97" s="2183">
        <v>1</v>
      </c>
      <c r="BM97" s="2084" t="s">
        <v>1090</v>
      </c>
      <c r="BN97" s="2174" t="s">
        <v>1090</v>
      </c>
      <c r="BO97" s="2307">
        <v>0</v>
      </c>
      <c r="BP97" s="2174" t="s">
        <v>1090</v>
      </c>
      <c r="BQ97" s="2178" t="s">
        <v>2693</v>
      </c>
      <c r="BR97" s="2178"/>
      <c r="BS97" s="2339">
        <f>SUM(M97:T97)</f>
        <v>3</v>
      </c>
      <c r="BT97" s="2379">
        <f aca="true" t="shared" si="69" ref="BT97:BT104">IF(BS97=0,0%,100%)</f>
        <v>1</v>
      </c>
      <c r="BU97" s="2383">
        <v>3</v>
      </c>
      <c r="BV97" s="2379">
        <v>1</v>
      </c>
      <c r="BW97" s="2373">
        <v>1</v>
      </c>
      <c r="BX97" s="2379">
        <v>1</v>
      </c>
      <c r="BY97" s="2380"/>
      <c r="BZ97" s="2389"/>
      <c r="CA97" s="2381" t="s">
        <v>2940</v>
      </c>
      <c r="CB97" s="2381" t="s">
        <v>1770</v>
      </c>
    </row>
    <row r="98" spans="1:80" s="606" customFormat="1" ht="20.1" customHeight="1" thickBot="1">
      <c r="A98" s="2652" t="s">
        <v>130</v>
      </c>
      <c r="B98" s="2653"/>
      <c r="C98" s="2653"/>
      <c r="D98" s="2654"/>
      <c r="E98" s="1194"/>
      <c r="F98" s="1194"/>
      <c r="G98" s="1194"/>
      <c r="H98" s="1194"/>
      <c r="I98" s="86">
        <f>SUM(I97)</f>
        <v>1</v>
      </c>
      <c r="J98" s="1194"/>
      <c r="K98" s="1194"/>
      <c r="L98" s="1194"/>
      <c r="M98" s="1194"/>
      <c r="N98" s="1194"/>
      <c r="O98" s="1194"/>
      <c r="P98" s="1194"/>
      <c r="Q98" s="1194"/>
      <c r="R98" s="1194"/>
      <c r="S98" s="1194"/>
      <c r="T98" s="1194"/>
      <c r="U98" s="1194"/>
      <c r="V98" s="1194"/>
      <c r="W98" s="1194"/>
      <c r="X98" s="1194"/>
      <c r="Y98" s="1194"/>
      <c r="Z98" s="88">
        <f>SUM(Z97:Z97)</f>
        <v>0</v>
      </c>
      <c r="AA98" s="1195"/>
      <c r="AB98" s="758"/>
      <c r="AC98" s="758"/>
      <c r="AD98" s="758"/>
      <c r="AE98" s="758"/>
      <c r="AF98" s="758"/>
      <c r="AG98" s="758"/>
      <c r="AH98" s="758"/>
      <c r="AI98" s="758"/>
      <c r="AJ98" s="758"/>
      <c r="AK98" s="758"/>
      <c r="AL98" s="758"/>
      <c r="AM98" s="758"/>
      <c r="AN98" s="759"/>
      <c r="AO98" s="1272">
        <f>AVERAGEIF(AO97,"&gt;0")</f>
        <v>1</v>
      </c>
      <c r="AP98" s="761"/>
      <c r="AQ98" s="1609">
        <f>AVERAGE(AQ97)</f>
        <v>1</v>
      </c>
      <c r="AR98" s="759"/>
      <c r="AS98" s="1272">
        <f>AVERAGEIF(AS97,"&gt;=0")</f>
        <v>1</v>
      </c>
      <c r="AT98" s="1261">
        <f>AVERAGE(AT97)</f>
        <v>1</v>
      </c>
      <c r="AU98" s="1275">
        <f>SUM(AU97)</f>
        <v>0</v>
      </c>
      <c r="AV98" s="1272" t="e">
        <f>AVERAGEIF(AV97,"&gt;0")</f>
        <v>#DIV/0!</v>
      </c>
      <c r="AW98" s="760"/>
      <c r="AX98" s="760"/>
      <c r="AY98" s="636"/>
      <c r="AZ98" s="1719">
        <f>AVERAGEIF(AZ97,"&gt;0")</f>
        <v>1</v>
      </c>
      <c r="BA98" s="637"/>
      <c r="BB98" s="1262">
        <f>AVERAGE(BB97)</f>
        <v>1</v>
      </c>
      <c r="BC98" s="636"/>
      <c r="BD98" s="1261" t="s">
        <v>1090</v>
      </c>
      <c r="BE98" s="637"/>
      <c r="BF98" s="636"/>
      <c r="BG98" s="637"/>
      <c r="BH98" s="637"/>
      <c r="BI98" s="636"/>
      <c r="BJ98" s="1719">
        <v>1</v>
      </c>
      <c r="BK98" s="636"/>
      <c r="BL98" s="1262">
        <f>AVERAGE(BL97)</f>
        <v>1</v>
      </c>
      <c r="BM98" s="636" t="s">
        <v>1090</v>
      </c>
      <c r="BN98" s="637" t="s">
        <v>1090</v>
      </c>
      <c r="BO98" s="637"/>
      <c r="BP98" s="637"/>
      <c r="BQ98" s="637"/>
      <c r="BR98" s="637"/>
      <c r="BS98" s="636"/>
      <c r="BT98" s="1719">
        <f>AVERAGE(BT97)</f>
        <v>1</v>
      </c>
      <c r="BU98" s="636"/>
      <c r="BV98" s="1262">
        <f>AVERAGE(BV97)</f>
        <v>1</v>
      </c>
      <c r="BW98" s="636"/>
      <c r="BX98" s="1719">
        <f>AVERAGE(BX97)</f>
        <v>1</v>
      </c>
      <c r="BY98" s="637"/>
      <c r="BZ98" s="637"/>
      <c r="CA98" s="637"/>
      <c r="CB98" s="637"/>
    </row>
    <row r="99" spans="1:80" s="796" customFormat="1" ht="96.75" thickBot="1">
      <c r="A99" s="2685">
        <v>2</v>
      </c>
      <c r="B99" s="2685" t="s">
        <v>131</v>
      </c>
      <c r="C99" s="2686" t="s">
        <v>503</v>
      </c>
      <c r="D99" s="797" t="s">
        <v>756</v>
      </c>
      <c r="E99" s="798" t="s">
        <v>72</v>
      </c>
      <c r="F99" s="799" t="s">
        <v>505</v>
      </c>
      <c r="G99" s="800" t="s">
        <v>73</v>
      </c>
      <c r="H99" s="786" t="s">
        <v>1345</v>
      </c>
      <c r="I99" s="801">
        <f>100%/6</f>
        <v>0.16666666666666666</v>
      </c>
      <c r="J99" s="802" t="s">
        <v>134</v>
      </c>
      <c r="K99" s="803">
        <v>42005</v>
      </c>
      <c r="L99" s="803">
        <v>42369</v>
      </c>
      <c r="M99" s="804"/>
      <c r="N99" s="804">
        <v>1</v>
      </c>
      <c r="O99" s="804"/>
      <c r="P99" s="804"/>
      <c r="Q99" s="804"/>
      <c r="R99" s="804"/>
      <c r="S99" s="804"/>
      <c r="T99" s="804"/>
      <c r="U99" s="804"/>
      <c r="V99" s="804"/>
      <c r="W99" s="804"/>
      <c r="X99" s="804"/>
      <c r="Y99" s="786">
        <f t="shared" si="61"/>
        <v>1</v>
      </c>
      <c r="Z99" s="793">
        <v>0</v>
      </c>
      <c r="AA99" s="794" t="s">
        <v>1090</v>
      </c>
      <c r="AB99" s="1259">
        <v>0</v>
      </c>
      <c r="AC99" s="1260">
        <v>1</v>
      </c>
      <c r="AD99" s="770"/>
      <c r="AE99" s="771"/>
      <c r="AF99" s="772"/>
      <c r="AG99" s="773"/>
      <c r="AH99" s="774"/>
      <c r="AI99" s="775"/>
      <c r="AJ99" s="776"/>
      <c r="AK99" s="777"/>
      <c r="AL99" s="778"/>
      <c r="AM99" s="779"/>
      <c r="AN99" s="634">
        <f>SUM(M99:N99)</f>
        <v>1</v>
      </c>
      <c r="AO99" s="645">
        <f aca="true" t="shared" si="70" ref="AO99:AO104">IF(AN99=0,0%,100%)</f>
        <v>1</v>
      </c>
      <c r="AP99" s="621">
        <f aca="true" t="shared" si="71" ref="AP99:AP104">SUM(AB99:AC99)</f>
        <v>1</v>
      </c>
      <c r="AQ99" s="645">
        <f aca="true" t="shared" si="72" ref="AQ99:AQ104">AP99/AN99</f>
        <v>1</v>
      </c>
      <c r="AR99" s="622">
        <f>+AP99/AN99</f>
        <v>1</v>
      </c>
      <c r="AS99" s="1647">
        <f t="shared" si="65"/>
        <v>1</v>
      </c>
      <c r="AT99" s="1647">
        <f aca="true" t="shared" si="73" ref="AT99:AT104">AR99</f>
        <v>1</v>
      </c>
      <c r="AU99" s="1215">
        <v>0</v>
      </c>
      <c r="AV99" s="624">
        <v>0</v>
      </c>
      <c r="AW99" s="665" t="s">
        <v>1772</v>
      </c>
      <c r="AX99" s="665"/>
      <c r="AY99" s="1712">
        <v>1</v>
      </c>
      <c r="AZ99" s="1717">
        <f t="shared" si="67"/>
        <v>1</v>
      </c>
      <c r="BA99" s="1712">
        <v>1</v>
      </c>
      <c r="BB99" s="1717">
        <f>BA99/AY99</f>
        <v>1</v>
      </c>
      <c r="BC99" s="1717" t="s">
        <v>1090</v>
      </c>
      <c r="BD99" s="1718" t="s">
        <v>1090</v>
      </c>
      <c r="BE99" s="1744">
        <v>0</v>
      </c>
      <c r="BF99" s="1713"/>
      <c r="BG99" s="1705" t="s">
        <v>2094</v>
      </c>
      <c r="BH99" s="1702" t="s">
        <v>1669</v>
      </c>
      <c r="BI99" s="2084">
        <v>1</v>
      </c>
      <c r="BJ99" s="2183">
        <f t="shared" si="68"/>
        <v>1</v>
      </c>
      <c r="BK99" s="2084">
        <v>1</v>
      </c>
      <c r="BL99" s="2183">
        <v>1</v>
      </c>
      <c r="BM99" s="2085" t="s">
        <v>1090</v>
      </c>
      <c r="BN99" s="2085" t="s">
        <v>1090</v>
      </c>
      <c r="BO99" s="2307">
        <v>0</v>
      </c>
      <c r="BP99" s="2174" t="s">
        <v>1090</v>
      </c>
      <c r="BQ99" s="2178" t="s">
        <v>2694</v>
      </c>
      <c r="BR99" s="2178"/>
      <c r="BS99" s="2339">
        <f>SUM(M99:T99)</f>
        <v>1</v>
      </c>
      <c r="BT99" s="2379">
        <f t="shared" si="69"/>
        <v>1</v>
      </c>
      <c r="BU99" s="2339">
        <v>1</v>
      </c>
      <c r="BV99" s="2379">
        <v>1</v>
      </c>
      <c r="BW99" s="2373" t="s">
        <v>1607</v>
      </c>
      <c r="BX99" s="2373">
        <v>1</v>
      </c>
      <c r="BY99" s="2380"/>
      <c r="BZ99" s="2389"/>
      <c r="CA99" s="2381" t="s">
        <v>1669</v>
      </c>
      <c r="CB99" s="2381" t="s">
        <v>1770</v>
      </c>
    </row>
    <row r="100" spans="1:80" s="796" customFormat="1" ht="132.75" customHeight="1" thickBot="1">
      <c r="A100" s="2685"/>
      <c r="B100" s="2685"/>
      <c r="C100" s="2686"/>
      <c r="D100" s="806" t="s">
        <v>135</v>
      </c>
      <c r="E100" s="807" t="s">
        <v>136</v>
      </c>
      <c r="F100" s="808">
        <v>4</v>
      </c>
      <c r="G100" s="807" t="s">
        <v>137</v>
      </c>
      <c r="H100" s="786" t="s">
        <v>1345</v>
      </c>
      <c r="I100" s="801">
        <f aca="true" t="shared" si="74" ref="I100:I103">100%/6</f>
        <v>0.16666666666666666</v>
      </c>
      <c r="J100" s="809" t="s">
        <v>138</v>
      </c>
      <c r="K100" s="810">
        <v>42005</v>
      </c>
      <c r="L100" s="810">
        <v>42369</v>
      </c>
      <c r="M100" s="811"/>
      <c r="N100" s="811"/>
      <c r="O100" s="811">
        <v>1</v>
      </c>
      <c r="P100" s="811"/>
      <c r="Q100" s="811"/>
      <c r="R100" s="811">
        <v>1</v>
      </c>
      <c r="S100" s="811"/>
      <c r="T100" s="811"/>
      <c r="U100" s="811">
        <v>1</v>
      </c>
      <c r="V100" s="811"/>
      <c r="W100" s="811"/>
      <c r="X100" s="811">
        <v>1</v>
      </c>
      <c r="Y100" s="812">
        <v>4</v>
      </c>
      <c r="Z100" s="793">
        <v>0</v>
      </c>
      <c r="AA100" s="794" t="s">
        <v>1090</v>
      </c>
      <c r="AB100" s="1259">
        <v>1</v>
      </c>
      <c r="AC100" s="1260">
        <v>0</v>
      </c>
      <c r="AD100" s="770"/>
      <c r="AE100" s="771"/>
      <c r="AF100" s="772"/>
      <c r="AG100" s="773"/>
      <c r="AH100" s="774"/>
      <c r="AI100" s="775"/>
      <c r="AJ100" s="776"/>
      <c r="AK100" s="777"/>
      <c r="AL100" s="778"/>
      <c r="AM100" s="779"/>
      <c r="AN100" s="634">
        <f aca="true" t="shared" si="75" ref="AN100:AN104">SUM(M100:N100)</f>
        <v>0</v>
      </c>
      <c r="AO100" s="645">
        <f t="shared" si="70"/>
        <v>0</v>
      </c>
      <c r="AP100" s="621">
        <f t="shared" si="71"/>
        <v>1</v>
      </c>
      <c r="AQ100" s="645" t="s">
        <v>1090</v>
      </c>
      <c r="AR100" s="622">
        <f aca="true" t="shared" si="76" ref="AR100:AR102">+AP100/Y100</f>
        <v>0.25</v>
      </c>
      <c r="AS100" s="1647" t="str">
        <f t="shared" si="65"/>
        <v>-</v>
      </c>
      <c r="AT100" s="1647">
        <f t="shared" si="73"/>
        <v>0.25</v>
      </c>
      <c r="AU100" s="1215">
        <v>0</v>
      </c>
      <c r="AV100" s="624">
        <v>0</v>
      </c>
      <c r="AW100" s="665" t="s">
        <v>1773</v>
      </c>
      <c r="AX100" s="665"/>
      <c r="AY100" s="1712">
        <f>SUM(M100:P100)</f>
        <v>1</v>
      </c>
      <c r="AZ100" s="1717">
        <f t="shared" si="67"/>
        <v>1</v>
      </c>
      <c r="BA100" s="1712">
        <v>2</v>
      </c>
      <c r="BB100" s="1717">
        <v>1</v>
      </c>
      <c r="BC100" s="1717">
        <f>BA100/Y100</f>
        <v>0.5</v>
      </c>
      <c r="BD100" s="1718">
        <v>0.25</v>
      </c>
      <c r="BE100" s="1744">
        <v>0</v>
      </c>
      <c r="BF100" s="1713"/>
      <c r="BG100" s="1705" t="s">
        <v>2095</v>
      </c>
      <c r="BH100" s="1702" t="s">
        <v>1669</v>
      </c>
      <c r="BI100" s="2084">
        <v>2</v>
      </c>
      <c r="BJ100" s="2183">
        <f t="shared" si="68"/>
        <v>1</v>
      </c>
      <c r="BK100" s="2084">
        <v>2</v>
      </c>
      <c r="BL100" s="2183">
        <v>1</v>
      </c>
      <c r="BM100" s="2085">
        <v>0.5</v>
      </c>
      <c r="BN100" s="2085">
        <v>0.5</v>
      </c>
      <c r="BO100" s="2307">
        <v>0</v>
      </c>
      <c r="BP100" s="2174" t="s">
        <v>1090</v>
      </c>
      <c r="BQ100" s="2178" t="s">
        <v>2695</v>
      </c>
      <c r="BR100" s="2178"/>
      <c r="BS100" s="2339">
        <f aca="true" t="shared" si="77" ref="BS100:BS104">SUM(M100:T100)</f>
        <v>2</v>
      </c>
      <c r="BT100" s="2379">
        <f t="shared" si="69"/>
        <v>1</v>
      </c>
      <c r="BU100" s="2339">
        <v>3</v>
      </c>
      <c r="BV100" s="2379">
        <v>1</v>
      </c>
      <c r="BW100" s="2373">
        <v>0.75</v>
      </c>
      <c r="BX100" s="2373">
        <f>BU100/Y100</f>
        <v>0.75</v>
      </c>
      <c r="BY100" s="2380"/>
      <c r="BZ100" s="2389"/>
      <c r="CA100" s="2381" t="s">
        <v>2941</v>
      </c>
      <c r="CB100" s="2381" t="s">
        <v>1770</v>
      </c>
    </row>
    <row r="101" spans="1:80" s="796" customFormat="1" ht="43.5" customHeight="1" thickBot="1">
      <c r="A101" s="2685"/>
      <c r="B101" s="2685"/>
      <c r="C101" s="2687" t="s">
        <v>507</v>
      </c>
      <c r="D101" s="813" t="s">
        <v>151</v>
      </c>
      <c r="E101" s="814" t="s">
        <v>152</v>
      </c>
      <c r="F101" s="815">
        <v>12</v>
      </c>
      <c r="G101" s="814" t="s">
        <v>153</v>
      </c>
      <c r="H101" s="786" t="s">
        <v>1345</v>
      </c>
      <c r="I101" s="801">
        <f t="shared" si="74"/>
        <v>0.16666666666666666</v>
      </c>
      <c r="J101" s="802" t="s">
        <v>154</v>
      </c>
      <c r="K101" s="803">
        <v>42006</v>
      </c>
      <c r="L101" s="803">
        <v>42369</v>
      </c>
      <c r="M101" s="804">
        <v>1</v>
      </c>
      <c r="N101" s="804">
        <v>1</v>
      </c>
      <c r="O101" s="804">
        <v>1</v>
      </c>
      <c r="P101" s="804">
        <v>1</v>
      </c>
      <c r="Q101" s="804">
        <v>1</v>
      </c>
      <c r="R101" s="804">
        <v>1</v>
      </c>
      <c r="S101" s="804">
        <v>1</v>
      </c>
      <c r="T101" s="804">
        <v>1</v>
      </c>
      <c r="U101" s="804">
        <v>1</v>
      </c>
      <c r="V101" s="804">
        <v>1</v>
      </c>
      <c r="W101" s="804">
        <v>1</v>
      </c>
      <c r="X101" s="804">
        <v>1</v>
      </c>
      <c r="Y101" s="816">
        <v>12</v>
      </c>
      <c r="Z101" s="793">
        <v>0</v>
      </c>
      <c r="AA101" s="794" t="s">
        <v>1090</v>
      </c>
      <c r="AB101" s="1259">
        <v>1</v>
      </c>
      <c r="AC101" s="1260">
        <v>1</v>
      </c>
      <c r="AD101" s="770"/>
      <c r="AE101" s="771"/>
      <c r="AF101" s="772"/>
      <c r="AG101" s="773"/>
      <c r="AH101" s="774"/>
      <c r="AI101" s="775"/>
      <c r="AJ101" s="776"/>
      <c r="AK101" s="777"/>
      <c r="AL101" s="778"/>
      <c r="AM101" s="779"/>
      <c r="AN101" s="634">
        <f t="shared" si="75"/>
        <v>2</v>
      </c>
      <c r="AO101" s="645">
        <f t="shared" si="70"/>
        <v>1</v>
      </c>
      <c r="AP101" s="621">
        <f t="shared" si="71"/>
        <v>2</v>
      </c>
      <c r="AQ101" s="645">
        <f t="shared" si="72"/>
        <v>1</v>
      </c>
      <c r="AR101" s="622">
        <f t="shared" si="76"/>
        <v>0.16666666666666666</v>
      </c>
      <c r="AS101" s="1647">
        <f t="shared" si="65"/>
        <v>0.16666666666666666</v>
      </c>
      <c r="AT101" s="1647">
        <f t="shared" si="73"/>
        <v>0.16666666666666666</v>
      </c>
      <c r="AU101" s="1215">
        <v>0</v>
      </c>
      <c r="AV101" s="624">
        <v>0</v>
      </c>
      <c r="AW101" s="665" t="s">
        <v>1774</v>
      </c>
      <c r="AX101" s="665"/>
      <c r="AY101" s="1712">
        <v>4</v>
      </c>
      <c r="AZ101" s="1717">
        <f t="shared" si="67"/>
        <v>1</v>
      </c>
      <c r="BA101" s="1712">
        <v>4</v>
      </c>
      <c r="BB101" s="1717">
        <f>BA101/AY101</f>
        <v>1</v>
      </c>
      <c r="BC101" s="1717">
        <f>BA101/Y101</f>
        <v>0.3333333333333333</v>
      </c>
      <c r="BD101" s="1718">
        <v>0.25</v>
      </c>
      <c r="BE101" s="1744">
        <v>0</v>
      </c>
      <c r="BF101" s="1713"/>
      <c r="BG101" s="1705" t="s">
        <v>2096</v>
      </c>
      <c r="BH101" s="1702" t="s">
        <v>1669</v>
      </c>
      <c r="BI101" s="2084">
        <v>6</v>
      </c>
      <c r="BJ101" s="2183">
        <f t="shared" si="68"/>
        <v>1</v>
      </c>
      <c r="BK101" s="2084">
        <v>6</v>
      </c>
      <c r="BL101" s="2183">
        <v>1</v>
      </c>
      <c r="BM101" s="2085">
        <v>0.5</v>
      </c>
      <c r="BN101" s="2085">
        <v>0.5</v>
      </c>
      <c r="BO101" s="2307">
        <v>0</v>
      </c>
      <c r="BP101" s="2174" t="s">
        <v>1090</v>
      </c>
      <c r="BQ101" s="2178" t="s">
        <v>2696</v>
      </c>
      <c r="BR101" s="2178"/>
      <c r="BS101" s="2339">
        <f t="shared" si="77"/>
        <v>8</v>
      </c>
      <c r="BT101" s="2379">
        <f t="shared" si="69"/>
        <v>1</v>
      </c>
      <c r="BU101" s="2339">
        <v>8</v>
      </c>
      <c r="BV101" s="2379">
        <v>1</v>
      </c>
      <c r="BW101" s="2373">
        <v>0.6666666666666666</v>
      </c>
      <c r="BX101" s="2373">
        <f>BU101/Y101</f>
        <v>0.6666666666666666</v>
      </c>
      <c r="BY101" s="2380"/>
      <c r="BZ101" s="2389"/>
      <c r="CA101" s="2381" t="s">
        <v>2942</v>
      </c>
      <c r="CB101" s="2381" t="s">
        <v>1770</v>
      </c>
    </row>
    <row r="102" spans="1:80" s="796" customFormat="1" ht="111" customHeight="1" thickBot="1">
      <c r="A102" s="2685"/>
      <c r="B102" s="2685"/>
      <c r="C102" s="2687"/>
      <c r="D102" s="817" t="s">
        <v>1775</v>
      </c>
      <c r="E102" s="818" t="s">
        <v>152</v>
      </c>
      <c r="F102" s="819">
        <v>12</v>
      </c>
      <c r="G102" s="820" t="s">
        <v>153</v>
      </c>
      <c r="H102" s="786" t="s">
        <v>1345</v>
      </c>
      <c r="I102" s="801">
        <f t="shared" si="74"/>
        <v>0.16666666666666666</v>
      </c>
      <c r="J102" s="809" t="s">
        <v>154</v>
      </c>
      <c r="K102" s="810">
        <v>42006</v>
      </c>
      <c r="L102" s="810">
        <v>42369</v>
      </c>
      <c r="M102" s="811">
        <v>1</v>
      </c>
      <c r="N102" s="811">
        <v>1</v>
      </c>
      <c r="O102" s="811">
        <v>1</v>
      </c>
      <c r="P102" s="811">
        <v>1</v>
      </c>
      <c r="Q102" s="811">
        <v>1</v>
      </c>
      <c r="R102" s="811">
        <v>1</v>
      </c>
      <c r="S102" s="811">
        <v>1</v>
      </c>
      <c r="T102" s="811">
        <v>1</v>
      </c>
      <c r="U102" s="811">
        <v>1</v>
      </c>
      <c r="V102" s="811">
        <v>1</v>
      </c>
      <c r="W102" s="811">
        <v>1</v>
      </c>
      <c r="X102" s="811">
        <v>1</v>
      </c>
      <c r="Y102" s="812">
        <v>12</v>
      </c>
      <c r="Z102" s="793">
        <v>0</v>
      </c>
      <c r="AA102" s="794" t="s">
        <v>1090</v>
      </c>
      <c r="AB102" s="1259">
        <v>1</v>
      </c>
      <c r="AC102" s="1260">
        <v>1</v>
      </c>
      <c r="AD102" s="770"/>
      <c r="AE102" s="771"/>
      <c r="AF102" s="772"/>
      <c r="AG102" s="773"/>
      <c r="AH102" s="774"/>
      <c r="AI102" s="775"/>
      <c r="AJ102" s="776"/>
      <c r="AK102" s="777"/>
      <c r="AL102" s="778"/>
      <c r="AM102" s="779"/>
      <c r="AN102" s="634">
        <f t="shared" si="75"/>
        <v>2</v>
      </c>
      <c r="AO102" s="645">
        <f t="shared" si="70"/>
        <v>1</v>
      </c>
      <c r="AP102" s="621">
        <f t="shared" si="71"/>
        <v>2</v>
      </c>
      <c r="AQ102" s="645">
        <f t="shared" si="72"/>
        <v>1</v>
      </c>
      <c r="AR102" s="622">
        <f t="shared" si="76"/>
        <v>0.16666666666666666</v>
      </c>
      <c r="AS102" s="1647">
        <f t="shared" si="65"/>
        <v>0.16666666666666666</v>
      </c>
      <c r="AT102" s="1647">
        <f t="shared" si="73"/>
        <v>0.16666666666666666</v>
      </c>
      <c r="AU102" s="1215">
        <v>0</v>
      </c>
      <c r="AV102" s="624">
        <v>0</v>
      </c>
      <c r="AW102" s="665" t="s">
        <v>1776</v>
      </c>
      <c r="AX102" s="665"/>
      <c r="AY102" s="1712">
        <v>4</v>
      </c>
      <c r="AZ102" s="1717">
        <f t="shared" si="67"/>
        <v>1</v>
      </c>
      <c r="BA102" s="1712">
        <v>4</v>
      </c>
      <c r="BB102" s="1717">
        <f aca="true" t="shared" si="78" ref="BB102:BB104">BA102/AY102</f>
        <v>1</v>
      </c>
      <c r="BC102" s="1717">
        <f>BA102/Y102</f>
        <v>0.3333333333333333</v>
      </c>
      <c r="BD102" s="1718">
        <v>0.25</v>
      </c>
      <c r="BE102" s="1744">
        <v>0</v>
      </c>
      <c r="BF102" s="1713"/>
      <c r="BG102" s="1705" t="s">
        <v>2097</v>
      </c>
      <c r="BH102" s="1702" t="s">
        <v>1669</v>
      </c>
      <c r="BI102" s="2084">
        <v>6</v>
      </c>
      <c r="BJ102" s="2183">
        <f t="shared" si="68"/>
        <v>1</v>
      </c>
      <c r="BK102" s="2084">
        <v>6</v>
      </c>
      <c r="BL102" s="2183">
        <v>1</v>
      </c>
      <c r="BM102" s="2085">
        <v>0.5</v>
      </c>
      <c r="BN102" s="2085">
        <v>0.5</v>
      </c>
      <c r="BO102" s="2307">
        <v>0</v>
      </c>
      <c r="BP102" s="2174" t="s">
        <v>1090</v>
      </c>
      <c r="BQ102" s="2178" t="s">
        <v>2697</v>
      </c>
      <c r="BR102" s="2178"/>
      <c r="BS102" s="2339">
        <f t="shared" si="77"/>
        <v>8</v>
      </c>
      <c r="BT102" s="2379">
        <f t="shared" si="69"/>
        <v>1</v>
      </c>
      <c r="BU102" s="2339">
        <v>8</v>
      </c>
      <c r="BV102" s="2379">
        <v>1</v>
      </c>
      <c r="BW102" s="2373">
        <v>0.6666666666666666</v>
      </c>
      <c r="BX102" s="2373">
        <f>BU102/Y102</f>
        <v>0.6666666666666666</v>
      </c>
      <c r="BY102" s="2380"/>
      <c r="BZ102" s="2389"/>
      <c r="CA102" s="2381" t="s">
        <v>2943</v>
      </c>
      <c r="CB102" s="2381" t="s">
        <v>1770</v>
      </c>
    </row>
    <row r="103" spans="1:80" s="796" customFormat="1" ht="87.75" customHeight="1" thickBot="1">
      <c r="A103" s="2685"/>
      <c r="B103" s="2685"/>
      <c r="C103" s="2687"/>
      <c r="D103" s="813" t="s">
        <v>156</v>
      </c>
      <c r="E103" s="821" t="s">
        <v>157</v>
      </c>
      <c r="F103" s="822" t="s">
        <v>140</v>
      </c>
      <c r="G103" s="823" t="s">
        <v>141</v>
      </c>
      <c r="H103" s="786" t="s">
        <v>1345</v>
      </c>
      <c r="I103" s="801">
        <f t="shared" si="74"/>
        <v>0.16666666666666666</v>
      </c>
      <c r="J103" s="824" t="s">
        <v>158</v>
      </c>
      <c r="K103" s="825">
        <v>42006</v>
      </c>
      <c r="L103" s="803">
        <v>42369</v>
      </c>
      <c r="M103" s="804">
        <v>1</v>
      </c>
      <c r="N103" s="804">
        <v>1</v>
      </c>
      <c r="O103" s="804">
        <v>1</v>
      </c>
      <c r="P103" s="804">
        <v>1</v>
      </c>
      <c r="Q103" s="804">
        <v>1</v>
      </c>
      <c r="R103" s="804">
        <v>1</v>
      </c>
      <c r="S103" s="804">
        <v>1</v>
      </c>
      <c r="T103" s="804">
        <v>1</v>
      </c>
      <c r="U103" s="804">
        <v>1</v>
      </c>
      <c r="V103" s="804">
        <v>1</v>
      </c>
      <c r="W103" s="804">
        <v>1</v>
      </c>
      <c r="X103" s="804">
        <v>1</v>
      </c>
      <c r="Y103" s="816">
        <v>12</v>
      </c>
      <c r="Z103" s="793">
        <v>0</v>
      </c>
      <c r="AA103" s="794" t="s">
        <v>1090</v>
      </c>
      <c r="AB103" s="1259">
        <v>1</v>
      </c>
      <c r="AC103" s="1260">
        <v>1</v>
      </c>
      <c r="AD103" s="770"/>
      <c r="AE103" s="771"/>
      <c r="AF103" s="772"/>
      <c r="AG103" s="773"/>
      <c r="AH103" s="774"/>
      <c r="AI103" s="775"/>
      <c r="AJ103" s="776"/>
      <c r="AK103" s="777"/>
      <c r="AL103" s="778"/>
      <c r="AM103" s="779"/>
      <c r="AN103" s="634">
        <f t="shared" si="75"/>
        <v>2</v>
      </c>
      <c r="AO103" s="645">
        <f t="shared" si="70"/>
        <v>1</v>
      </c>
      <c r="AP103" s="621">
        <f t="shared" si="71"/>
        <v>2</v>
      </c>
      <c r="AQ103" s="645">
        <f t="shared" si="72"/>
        <v>1</v>
      </c>
      <c r="AR103" s="622">
        <f>+AP103/AN103</f>
        <v>1</v>
      </c>
      <c r="AS103" s="1647">
        <f t="shared" si="65"/>
        <v>1</v>
      </c>
      <c r="AT103" s="1647">
        <f t="shared" si="73"/>
        <v>1</v>
      </c>
      <c r="AU103" s="1215">
        <v>0</v>
      </c>
      <c r="AV103" s="624">
        <v>0</v>
      </c>
      <c r="AW103" s="665" t="s">
        <v>1777</v>
      </c>
      <c r="AX103" s="665"/>
      <c r="AY103" s="1712">
        <v>4</v>
      </c>
      <c r="AZ103" s="1717">
        <f t="shared" si="67"/>
        <v>1</v>
      </c>
      <c r="BA103" s="1712">
        <v>4</v>
      </c>
      <c r="BB103" s="1717">
        <f t="shared" si="78"/>
        <v>1</v>
      </c>
      <c r="BC103" s="1717">
        <v>1</v>
      </c>
      <c r="BD103" s="1718">
        <f aca="true" t="shared" si="79" ref="BD103:BD104">IF(AZ103&gt;0,BB103,"-")</f>
        <v>1</v>
      </c>
      <c r="BE103" s="1744">
        <v>0</v>
      </c>
      <c r="BF103" s="1713"/>
      <c r="BG103" s="1705" t="s">
        <v>2098</v>
      </c>
      <c r="BH103" s="1702" t="s">
        <v>1669</v>
      </c>
      <c r="BI103" s="2084">
        <v>6</v>
      </c>
      <c r="BJ103" s="2183">
        <f t="shared" si="68"/>
        <v>1</v>
      </c>
      <c r="BK103" s="2084">
        <v>6</v>
      </c>
      <c r="BL103" s="2183">
        <v>1</v>
      </c>
      <c r="BM103" s="2085">
        <v>0.5</v>
      </c>
      <c r="BN103" s="2085">
        <v>0.5</v>
      </c>
      <c r="BO103" s="2307">
        <v>0</v>
      </c>
      <c r="BP103" s="2174" t="s">
        <v>1090</v>
      </c>
      <c r="BQ103" s="2178" t="s">
        <v>2098</v>
      </c>
      <c r="BR103" s="2178"/>
      <c r="BS103" s="2339">
        <f t="shared" si="77"/>
        <v>8</v>
      </c>
      <c r="BT103" s="2379">
        <f t="shared" si="69"/>
        <v>1</v>
      </c>
      <c r="BU103" s="2339">
        <v>8</v>
      </c>
      <c r="BV103" s="2379">
        <v>1</v>
      </c>
      <c r="BW103" s="2373">
        <v>0.6666666666666666</v>
      </c>
      <c r="BX103" s="2373">
        <f>BU103/Y103</f>
        <v>0.6666666666666666</v>
      </c>
      <c r="BY103" s="2380"/>
      <c r="BZ103" s="2389"/>
      <c r="CA103" s="2381" t="s">
        <v>2944</v>
      </c>
      <c r="CB103" s="2381" t="s">
        <v>1770</v>
      </c>
    </row>
    <row r="104" spans="1:80" s="796" customFormat="1" ht="81.75" customHeight="1" thickBot="1">
      <c r="A104" s="2685"/>
      <c r="B104" s="2685"/>
      <c r="C104" s="2687"/>
      <c r="D104" s="817" t="s">
        <v>147</v>
      </c>
      <c r="E104" s="826" t="s">
        <v>148</v>
      </c>
      <c r="F104" s="826" t="s">
        <v>149</v>
      </c>
      <c r="G104" s="820" t="s">
        <v>150</v>
      </c>
      <c r="H104" s="786" t="s">
        <v>1345</v>
      </c>
      <c r="I104" s="801">
        <f>100%/6</f>
        <v>0.16666666666666666</v>
      </c>
      <c r="J104" s="809" t="s">
        <v>148</v>
      </c>
      <c r="K104" s="810">
        <v>42006</v>
      </c>
      <c r="L104" s="810">
        <v>42369</v>
      </c>
      <c r="M104" s="811">
        <v>1</v>
      </c>
      <c r="N104" s="811"/>
      <c r="O104" s="811"/>
      <c r="P104" s="811">
        <v>1</v>
      </c>
      <c r="Q104" s="811"/>
      <c r="R104" s="811"/>
      <c r="S104" s="811">
        <v>1</v>
      </c>
      <c r="T104" s="811"/>
      <c r="U104" s="811"/>
      <c r="V104" s="811"/>
      <c r="W104" s="811"/>
      <c r="X104" s="811"/>
      <c r="Y104" s="812">
        <v>3</v>
      </c>
      <c r="Z104" s="793">
        <v>0</v>
      </c>
      <c r="AA104" s="794" t="s">
        <v>1090</v>
      </c>
      <c r="AB104" s="1259">
        <v>1</v>
      </c>
      <c r="AC104" s="1260">
        <v>0</v>
      </c>
      <c r="AD104" s="770"/>
      <c r="AE104" s="771"/>
      <c r="AF104" s="772"/>
      <c r="AG104" s="773"/>
      <c r="AH104" s="774"/>
      <c r="AI104" s="775"/>
      <c r="AJ104" s="776"/>
      <c r="AK104" s="777"/>
      <c r="AL104" s="778"/>
      <c r="AM104" s="779"/>
      <c r="AN104" s="634">
        <f t="shared" si="75"/>
        <v>1</v>
      </c>
      <c r="AO104" s="645">
        <f t="shared" si="70"/>
        <v>1</v>
      </c>
      <c r="AP104" s="621">
        <f t="shared" si="71"/>
        <v>1</v>
      </c>
      <c r="AQ104" s="645">
        <f t="shared" si="72"/>
        <v>1</v>
      </c>
      <c r="AR104" s="622">
        <f>+AP104/AN104</f>
        <v>1</v>
      </c>
      <c r="AS104" s="1647">
        <f t="shared" si="65"/>
        <v>1</v>
      </c>
      <c r="AT104" s="1647">
        <f t="shared" si="73"/>
        <v>1</v>
      </c>
      <c r="AU104" s="1215">
        <v>0</v>
      </c>
      <c r="AV104" s="624">
        <v>0</v>
      </c>
      <c r="AW104" s="665" t="s">
        <v>1778</v>
      </c>
      <c r="AX104" s="665"/>
      <c r="AY104" s="1712">
        <v>2</v>
      </c>
      <c r="AZ104" s="1717">
        <f t="shared" si="67"/>
        <v>1</v>
      </c>
      <c r="BA104" s="1712">
        <v>2</v>
      </c>
      <c r="BB104" s="1717">
        <f t="shared" si="78"/>
        <v>1</v>
      </c>
      <c r="BC104" s="1717">
        <v>1</v>
      </c>
      <c r="BD104" s="1718">
        <f t="shared" si="79"/>
        <v>1</v>
      </c>
      <c r="BE104" s="1744">
        <v>0</v>
      </c>
      <c r="BF104" s="1713"/>
      <c r="BG104" s="1705" t="s">
        <v>2099</v>
      </c>
      <c r="BH104" s="1702" t="s">
        <v>1669</v>
      </c>
      <c r="BI104" s="2084">
        <v>2</v>
      </c>
      <c r="BJ104" s="2183">
        <f t="shared" si="68"/>
        <v>1</v>
      </c>
      <c r="BK104" s="2084">
        <v>2</v>
      </c>
      <c r="BL104" s="2183">
        <v>1</v>
      </c>
      <c r="BM104" s="2085">
        <v>1</v>
      </c>
      <c r="BN104" s="2085">
        <v>1</v>
      </c>
      <c r="BO104" s="2307">
        <v>0</v>
      </c>
      <c r="BP104" s="2174" t="s">
        <v>1090</v>
      </c>
      <c r="BQ104" s="2178" t="s">
        <v>2693</v>
      </c>
      <c r="BR104" s="2178"/>
      <c r="BS104" s="2339">
        <f t="shared" si="77"/>
        <v>3</v>
      </c>
      <c r="BT104" s="2379">
        <f t="shared" si="69"/>
        <v>1</v>
      </c>
      <c r="BU104" s="2339">
        <v>3</v>
      </c>
      <c r="BV104" s="2379">
        <v>1</v>
      </c>
      <c r="BW104" s="2373">
        <v>1</v>
      </c>
      <c r="BX104" s="2373">
        <v>1</v>
      </c>
      <c r="BY104" s="2380"/>
      <c r="BZ104" s="2389"/>
      <c r="CA104" s="2381" t="s">
        <v>2945</v>
      </c>
      <c r="CB104" s="2381" t="s">
        <v>1770</v>
      </c>
    </row>
    <row r="105" spans="1:80" s="606" customFormat="1" ht="20.1" customHeight="1" thickBot="1">
      <c r="A105" s="2652" t="s">
        <v>130</v>
      </c>
      <c r="B105" s="2653"/>
      <c r="C105" s="2653"/>
      <c r="D105" s="2654"/>
      <c r="E105" s="1194"/>
      <c r="F105" s="1194"/>
      <c r="G105" s="1194"/>
      <c r="H105" s="1194"/>
      <c r="I105" s="93">
        <f>SUM(I99:I104)</f>
        <v>0.9999999999999999</v>
      </c>
      <c r="J105" s="1194"/>
      <c r="K105" s="1194"/>
      <c r="L105" s="1194"/>
      <c r="M105" s="1194"/>
      <c r="N105" s="1194"/>
      <c r="O105" s="1194"/>
      <c r="P105" s="1194"/>
      <c r="Q105" s="1194"/>
      <c r="R105" s="1194"/>
      <c r="S105" s="1194"/>
      <c r="T105" s="1194"/>
      <c r="U105" s="1194"/>
      <c r="V105" s="1194"/>
      <c r="W105" s="1194"/>
      <c r="X105" s="1194"/>
      <c r="Y105" s="1194"/>
      <c r="Z105" s="88">
        <f>SUM(Z99:Z104)</f>
        <v>0</v>
      </c>
      <c r="AA105" s="1195"/>
      <c r="AB105" s="1195"/>
      <c r="AC105" s="1195"/>
      <c r="AD105" s="1195"/>
      <c r="AE105" s="1195"/>
      <c r="AF105" s="1195"/>
      <c r="AG105" s="1195"/>
      <c r="AH105" s="1195"/>
      <c r="AI105" s="1195"/>
      <c r="AJ105" s="1195"/>
      <c r="AK105" s="1195"/>
      <c r="AL105" s="1195"/>
      <c r="AM105" s="1195"/>
      <c r="AN105" s="636"/>
      <c r="AO105" s="1272">
        <f>AVERAGEIF(AO99:AO104,"&gt;0")</f>
        <v>1</v>
      </c>
      <c r="AP105" s="637"/>
      <c r="AQ105" s="1262">
        <f>AVERAGE(AQ99:AQ104)</f>
        <v>1</v>
      </c>
      <c r="AR105" s="636"/>
      <c r="AS105" s="1272">
        <f>AVERAGEIF(AS99:AS104,"&gt;=0")</f>
        <v>0.6666666666666667</v>
      </c>
      <c r="AT105" s="1261">
        <f>AVERAGE(AT99:AT104)</f>
        <v>0.5972222222222222</v>
      </c>
      <c r="AU105" s="1275">
        <f>SUM(AU99:AU104)</f>
        <v>0</v>
      </c>
      <c r="AV105" s="1272" t="e">
        <f>AVERAGEIF(AV99:AV104,"&gt;0")</f>
        <v>#DIV/0!</v>
      </c>
      <c r="AW105" s="636"/>
      <c r="AX105" s="636"/>
      <c r="AY105" s="636"/>
      <c r="AZ105" s="1721">
        <f>AVERAGEIF(AZ99:AZ104,"&gt;0")</f>
        <v>1</v>
      </c>
      <c r="BA105" s="636"/>
      <c r="BB105" s="1261">
        <f>AVERAGE(BB99:BB104)</f>
        <v>1</v>
      </c>
      <c r="BC105" s="636"/>
      <c r="BD105" s="1261">
        <f>AVERAGE(BD99:BD104)</f>
        <v>0.55</v>
      </c>
      <c r="BE105" s="636"/>
      <c r="BF105" s="636"/>
      <c r="BG105" s="636"/>
      <c r="BH105" s="636"/>
      <c r="BI105" s="636"/>
      <c r="BJ105" s="1721">
        <v>1</v>
      </c>
      <c r="BK105" s="636"/>
      <c r="BL105" s="1261">
        <f>AVERAGE(BL99:BL104)</f>
        <v>1</v>
      </c>
      <c r="BM105" s="1261"/>
      <c r="BN105" s="1261">
        <f>AVERAGE(BN99:BN104)</f>
        <v>0.6</v>
      </c>
      <c r="BO105" s="636"/>
      <c r="BP105" s="636"/>
      <c r="BQ105" s="636"/>
      <c r="BR105" s="636"/>
      <c r="BS105" s="636"/>
      <c r="BT105" s="1721">
        <f>AVERAGE(BT99:BT104)</f>
        <v>1</v>
      </c>
      <c r="BU105" s="636"/>
      <c r="BV105" s="1261">
        <f>AVERAGE(BV99:BV104)</f>
        <v>1</v>
      </c>
      <c r="BW105" s="1261"/>
      <c r="BX105" s="1261">
        <f>AVERAGE(BX99:BX104)</f>
        <v>0.7916666666666666</v>
      </c>
      <c r="BY105" s="636"/>
      <c r="BZ105" s="636"/>
      <c r="CA105" s="636"/>
      <c r="CB105" s="636"/>
    </row>
    <row r="106" spans="1:80" s="606" customFormat="1" ht="20.1" customHeight="1" thickBot="1">
      <c r="A106" s="2660" t="s">
        <v>290</v>
      </c>
      <c r="B106" s="2661"/>
      <c r="C106" s="2661"/>
      <c r="D106" s="2661"/>
      <c r="E106" s="1197"/>
      <c r="F106" s="1198"/>
      <c r="G106" s="1198"/>
      <c r="H106" s="1198"/>
      <c r="I106" s="1198"/>
      <c r="J106" s="1198"/>
      <c r="K106" s="1198"/>
      <c r="L106" s="1198"/>
      <c r="M106" s="1198"/>
      <c r="N106" s="1198"/>
      <c r="O106" s="1198"/>
      <c r="P106" s="1198"/>
      <c r="Q106" s="1198"/>
      <c r="R106" s="1198"/>
      <c r="S106" s="1198"/>
      <c r="T106" s="1198"/>
      <c r="U106" s="1198"/>
      <c r="V106" s="1198"/>
      <c r="W106" s="1198"/>
      <c r="X106" s="1198"/>
      <c r="Y106" s="1198"/>
      <c r="Z106" s="161">
        <f>SUM(Z98,Z105)</f>
        <v>0</v>
      </c>
      <c r="AA106" s="162"/>
      <c r="AB106" s="1209"/>
      <c r="AC106" s="1209"/>
      <c r="AD106" s="1209"/>
      <c r="AE106" s="1209"/>
      <c r="AF106" s="1209"/>
      <c r="AG106" s="1209"/>
      <c r="AH106" s="1209"/>
      <c r="AI106" s="1209"/>
      <c r="AJ106" s="1209"/>
      <c r="AK106" s="1209"/>
      <c r="AL106" s="1209"/>
      <c r="AM106" s="1209"/>
      <c r="AN106" s="652"/>
      <c r="AO106" s="652"/>
      <c r="AP106" s="653"/>
      <c r="AQ106" s="1610">
        <f>AVERAGE(AQ105,AQ98)</f>
        <v>1</v>
      </c>
      <c r="AR106" s="652"/>
      <c r="AS106" s="652"/>
      <c r="AT106" s="1279">
        <f>AVERAGE(AT105,AT98)</f>
        <v>0.7986111111111112</v>
      </c>
      <c r="AU106" s="1278">
        <f>SUM(AU98,AU105)</f>
        <v>0</v>
      </c>
      <c r="AV106" s="1279" t="e">
        <f>AVERAGE(AV98,AV105)</f>
        <v>#DIV/0!</v>
      </c>
      <c r="AW106" s="652"/>
      <c r="AX106" s="652"/>
      <c r="AY106" s="652"/>
      <c r="AZ106" s="1279">
        <f>AVERAGE(AZ105,AZ98)</f>
        <v>1</v>
      </c>
      <c r="BA106" s="652"/>
      <c r="BB106" s="1279">
        <f>AVERAGE(BB105,BB98)</f>
        <v>1</v>
      </c>
      <c r="BC106" s="652"/>
      <c r="BD106" s="1279">
        <f>AVERAGE(BD105,BD98)</f>
        <v>0.55</v>
      </c>
      <c r="BE106" s="652"/>
      <c r="BF106" s="652"/>
      <c r="BG106" s="652"/>
      <c r="BH106" s="652"/>
      <c r="BI106" s="652"/>
      <c r="BJ106" s="1279">
        <f>AVERAGE(BJ105,BJ98)</f>
        <v>1</v>
      </c>
      <c r="BK106" s="652"/>
      <c r="BL106" s="1279">
        <f>AVERAGE(BL105,BL98)</f>
        <v>1</v>
      </c>
      <c r="BM106" s="1279"/>
      <c r="BN106" s="1279">
        <f>AVERAGE(BN105,BN98)</f>
        <v>0.6</v>
      </c>
      <c r="BO106" s="652"/>
      <c r="BP106" s="652"/>
      <c r="BQ106" s="652"/>
      <c r="BR106" s="652"/>
      <c r="BS106" s="652"/>
      <c r="BT106" s="1279">
        <f>AVERAGE(BT105,BT98)</f>
        <v>1</v>
      </c>
      <c r="BU106" s="652"/>
      <c r="BV106" s="1279">
        <f>AVERAGE(BV105,BV98)</f>
        <v>1</v>
      </c>
      <c r="BW106" s="1279"/>
      <c r="BX106" s="1279">
        <f>AVERAGE(BX105,BX98)</f>
        <v>0.8958333333333333</v>
      </c>
      <c r="BY106" s="652"/>
      <c r="BZ106" s="652"/>
      <c r="CA106" s="652"/>
      <c r="CB106" s="652"/>
    </row>
    <row r="107" spans="1:80" s="3" customFormat="1" ht="28.5" customHeight="1" thickBot="1">
      <c r="A107" s="164"/>
      <c r="B107" s="165"/>
      <c r="C107" s="166"/>
      <c r="D107" s="166"/>
      <c r="E107" s="166"/>
      <c r="F107" s="267"/>
      <c r="G107" s="166"/>
      <c r="H107" s="166"/>
      <c r="I107" s="268"/>
      <c r="J107" s="166"/>
      <c r="K107" s="269"/>
      <c r="L107" s="269"/>
      <c r="M107" s="166"/>
      <c r="N107" s="166"/>
      <c r="O107" s="166"/>
      <c r="P107" s="166"/>
      <c r="Q107" s="166"/>
      <c r="R107" s="166"/>
      <c r="S107" s="166"/>
      <c r="T107" s="166"/>
      <c r="U107" s="166"/>
      <c r="V107" s="166"/>
      <c r="W107" s="166"/>
      <c r="X107" s="166"/>
      <c r="Y107" s="166"/>
      <c r="Z107" s="307">
        <f>SUM(Z37,Z92,Z106)-Z42</f>
        <v>803800000</v>
      </c>
      <c r="AA107" s="166"/>
      <c r="AB107" s="166"/>
      <c r="AC107" s="166"/>
      <c r="AD107" s="166"/>
      <c r="AE107" s="166"/>
      <c r="AF107" s="166"/>
      <c r="AG107" s="166"/>
      <c r="AH107" s="166"/>
      <c r="AI107" s="166"/>
      <c r="AJ107" s="166"/>
      <c r="AK107" s="166"/>
      <c r="AL107" s="166"/>
      <c r="AM107" s="166"/>
      <c r="AN107" s="827"/>
      <c r="AO107" s="1612">
        <f>AVERAGE(AO105)</f>
        <v>1</v>
      </c>
      <c r="AP107" s="828"/>
      <c r="AQ107" s="1611">
        <f>AVERAGE(AQ106,AQ92,AQ37)</f>
        <v>0.9274036281179138</v>
      </c>
      <c r="AR107" s="827"/>
      <c r="AS107" s="827"/>
      <c r="AT107" s="1281">
        <f>AVERAGE(AT106,AT92,AT37)</f>
        <v>0.3822531503435643</v>
      </c>
      <c r="AU107" s="1280">
        <f>SUM(AU106,AU92,AU37)</f>
        <v>1197897843</v>
      </c>
      <c r="AV107" s="1281" t="e">
        <f>AVERAGE(AV106,AV92,AV37)</f>
        <v>#DIV/0!</v>
      </c>
      <c r="AW107" s="827"/>
      <c r="AX107" s="827"/>
      <c r="AY107" s="1886"/>
      <c r="AZ107" s="1885">
        <f>AVERAGE(AZ106,AZ92,AZ37)</f>
        <v>1</v>
      </c>
      <c r="BA107" s="1886"/>
      <c r="BB107" s="1885" t="e">
        <f>AVERAGE(BB106,BB92,BB37)</f>
        <v>#DIV/0!</v>
      </c>
      <c r="BC107" s="1886"/>
      <c r="BD107" s="1885">
        <f>AVERAGE(BD106,BD92,BD37)</f>
        <v>0.40693820814788556</v>
      </c>
      <c r="BE107" s="1886"/>
      <c r="BF107" s="827"/>
      <c r="BG107" s="827"/>
      <c r="BH107" s="827"/>
      <c r="BI107" s="2187"/>
      <c r="BJ107" s="2188">
        <v>1</v>
      </c>
      <c r="BK107" s="2187"/>
      <c r="BL107" s="2189">
        <f>AVERAGE(BL106,BL92,BL37)</f>
        <v>0.9204142542045769</v>
      </c>
      <c r="BM107" s="2189"/>
      <c r="BN107" s="2189">
        <f>AVERAGE(BN106,BN92,BN37)</f>
        <v>0.5502144816774447</v>
      </c>
      <c r="BO107" s="827"/>
      <c r="BP107" s="827"/>
      <c r="BQ107" s="827"/>
      <c r="BR107" s="827"/>
      <c r="BS107" s="2187"/>
      <c r="BT107" s="2443">
        <v>1</v>
      </c>
      <c r="BU107" s="2441"/>
      <c r="BV107" s="2442">
        <f>AVERAGE(BV106,BV92,BV37)</f>
        <v>0.9174975024975026</v>
      </c>
      <c r="BW107" s="2442"/>
      <c r="BX107" s="2442">
        <f>AVERAGE(BX106,BX92,BX37)</f>
        <v>0.7106093117082223</v>
      </c>
      <c r="BY107" s="827"/>
      <c r="BZ107" s="827"/>
      <c r="CA107" s="827"/>
      <c r="CB107" s="827"/>
    </row>
    <row r="108" spans="40:67" ht="15">
      <c r="AN108" s="829"/>
      <c r="AO108" s="829"/>
      <c r="AP108" s="829"/>
      <c r="AQ108" s="829"/>
      <c r="AR108" s="829"/>
      <c r="AS108" s="829"/>
      <c r="AT108" s="829"/>
      <c r="AU108" s="829"/>
      <c r="AV108" s="829"/>
      <c r="AW108" s="829"/>
      <c r="AX108" s="829"/>
      <c r="AY108" s="829"/>
      <c r="AZ108" s="829"/>
      <c r="BA108" s="829"/>
      <c r="BB108" s="829"/>
      <c r="BC108" s="829"/>
      <c r="BD108" s="829"/>
      <c r="BE108" s="829"/>
      <c r="BF108" s="829"/>
      <c r="BG108" s="829"/>
      <c r="BH108" s="829"/>
      <c r="BI108" s="829"/>
      <c r="BJ108" s="829"/>
      <c r="BK108" s="829"/>
      <c r="BL108" s="829"/>
      <c r="BM108" s="829"/>
      <c r="BN108" s="829"/>
      <c r="BO108" s="829"/>
    </row>
    <row r="109" spans="1:67" ht="66.75" customHeight="1">
      <c r="A109" s="2673" t="s">
        <v>1346</v>
      </c>
      <c r="B109" s="2673"/>
      <c r="C109" s="2673"/>
      <c r="D109" s="2673"/>
      <c r="E109" s="2673"/>
      <c r="F109" s="2673"/>
      <c r="G109" s="2673"/>
      <c r="H109" s="2673"/>
      <c r="I109" s="2673"/>
      <c r="J109" s="2673"/>
      <c r="K109" s="2673"/>
      <c r="L109" s="2673"/>
      <c r="M109" s="2673"/>
      <c r="N109" s="2673"/>
      <c r="O109" s="2673"/>
      <c r="P109" s="2673"/>
      <c r="Q109" s="2673"/>
      <c r="R109" s="2673"/>
      <c r="S109" s="2673"/>
      <c r="T109" s="2673"/>
      <c r="U109" s="2673"/>
      <c r="V109" s="2673"/>
      <c r="W109" s="2673"/>
      <c r="X109" s="2673"/>
      <c r="Y109" s="2673"/>
      <c r="Z109" s="2673"/>
      <c r="AA109" s="2673"/>
      <c r="AB109" s="1206"/>
      <c r="AC109" s="1206"/>
      <c r="AD109" s="1206"/>
      <c r="AE109" s="1206"/>
      <c r="AF109" s="1206"/>
      <c r="AG109" s="1206"/>
      <c r="AH109" s="1206"/>
      <c r="AI109" s="1206"/>
      <c r="AJ109" s="1206"/>
      <c r="AK109" s="1206"/>
      <c r="AL109" s="1206"/>
      <c r="AM109" s="1206"/>
      <c r="AN109" s="829"/>
      <c r="AO109" s="829"/>
      <c r="AP109" s="829"/>
      <c r="AQ109" s="829"/>
      <c r="AR109" s="829"/>
      <c r="AS109" s="829"/>
      <c r="AT109" s="829"/>
      <c r="AU109" s="829"/>
      <c r="AV109" s="829"/>
      <c r="AW109" s="829"/>
      <c r="AX109" s="829"/>
      <c r="AY109" s="829"/>
      <c r="AZ109" s="829"/>
      <c r="BA109" s="829"/>
      <c r="BB109" s="829"/>
      <c r="BC109" s="829"/>
      <c r="BD109" s="829"/>
      <c r="BE109" s="829"/>
      <c r="BF109" s="829"/>
      <c r="BG109" s="829"/>
      <c r="BH109" s="829"/>
      <c r="BI109" s="829"/>
      <c r="BJ109" s="829"/>
      <c r="BK109" s="829"/>
      <c r="BL109" s="829"/>
      <c r="BM109" s="829"/>
      <c r="BN109" s="829"/>
      <c r="BO109" s="829"/>
    </row>
    <row r="110" spans="1:67" ht="18.75" customHeight="1">
      <c r="A110" s="2673"/>
      <c r="B110" s="2673"/>
      <c r="C110" s="2673"/>
      <c r="D110" s="2673"/>
      <c r="E110" s="2673"/>
      <c r="F110" s="2673"/>
      <c r="G110" s="2673"/>
      <c r="H110" s="2673"/>
      <c r="I110" s="2673"/>
      <c r="J110" s="2673"/>
      <c r="K110" s="2673"/>
      <c r="L110" s="2673"/>
      <c r="M110" s="2673"/>
      <c r="N110" s="2673"/>
      <c r="O110" s="2673"/>
      <c r="P110" s="2673"/>
      <c r="Q110" s="2673"/>
      <c r="R110" s="2673"/>
      <c r="S110" s="2673"/>
      <c r="T110" s="2673"/>
      <c r="U110" s="2673"/>
      <c r="V110" s="2673"/>
      <c r="W110" s="2673"/>
      <c r="X110" s="2673"/>
      <c r="Y110" s="2673"/>
      <c r="Z110" s="2673"/>
      <c r="AA110" s="2673"/>
      <c r="AB110" s="1206"/>
      <c r="AC110" s="1206"/>
      <c r="AD110" s="1206"/>
      <c r="AE110" s="1206"/>
      <c r="AF110" s="1206"/>
      <c r="AG110" s="1206"/>
      <c r="AH110" s="1206"/>
      <c r="AI110" s="1206"/>
      <c r="AJ110" s="1206"/>
      <c r="AK110" s="1206"/>
      <c r="AL110" s="1206"/>
      <c r="AM110" s="1206"/>
      <c r="AN110" s="829"/>
      <c r="AO110" s="829"/>
      <c r="AP110" s="829"/>
      <c r="AQ110" s="829"/>
      <c r="AR110" s="829"/>
      <c r="AS110" s="829"/>
      <c r="AT110" s="829"/>
      <c r="AU110" s="829"/>
      <c r="AV110" s="829"/>
      <c r="AW110" s="829"/>
      <c r="AX110" s="829"/>
      <c r="AY110" s="829"/>
      <c r="AZ110" s="829"/>
      <c r="BA110" s="829"/>
      <c r="BB110" s="829"/>
      <c r="BC110" s="829"/>
      <c r="BD110" s="829"/>
      <c r="BE110" s="829"/>
      <c r="BF110" s="829"/>
      <c r="BG110" s="829"/>
      <c r="BH110" s="829"/>
      <c r="BI110" s="829"/>
      <c r="BJ110" s="829"/>
      <c r="BK110" s="829"/>
      <c r="BL110" s="829"/>
      <c r="BM110" s="829"/>
      <c r="BN110" s="829"/>
      <c r="BO110" s="829"/>
    </row>
    <row r="111" spans="40:67" ht="15">
      <c r="AN111" s="829"/>
      <c r="AO111" s="829"/>
      <c r="AP111" s="829"/>
      <c r="AQ111" s="829"/>
      <c r="AR111" s="829"/>
      <c r="AS111" s="829"/>
      <c r="AT111" s="829"/>
      <c r="AU111" s="829"/>
      <c r="AV111" s="829"/>
      <c r="AW111" s="829"/>
      <c r="AX111" s="829"/>
      <c r="AY111" s="829"/>
      <c r="AZ111" s="829"/>
      <c r="BA111" s="829"/>
      <c r="BB111" s="829"/>
      <c r="BC111" s="829"/>
      <c r="BD111" s="829"/>
      <c r="BE111" s="829"/>
      <c r="BF111" s="829"/>
      <c r="BG111" s="829"/>
      <c r="BH111" s="829"/>
      <c r="BI111" s="829"/>
      <c r="BJ111" s="829"/>
      <c r="BK111" s="829"/>
      <c r="BL111" s="829"/>
      <c r="BM111" s="829"/>
      <c r="BN111" s="829"/>
      <c r="BO111" s="829"/>
    </row>
    <row r="112" spans="22:67" ht="15">
      <c r="V112" s="2674"/>
      <c r="W112" s="2674"/>
      <c r="X112" s="2674"/>
      <c r="Y112" s="2674"/>
      <c r="Z112"/>
      <c r="AN112" s="829"/>
      <c r="AO112" s="829"/>
      <c r="AP112" s="829"/>
      <c r="AQ112" s="829"/>
      <c r="AR112" s="829"/>
      <c r="AS112" s="829"/>
      <c r="AT112" s="829"/>
      <c r="AU112" s="829"/>
      <c r="AV112" s="829"/>
      <c r="AW112" s="829"/>
      <c r="AX112" s="829"/>
      <c r="AY112" s="829"/>
      <c r="AZ112" s="829"/>
      <c r="BA112" s="829"/>
      <c r="BB112" s="829"/>
      <c r="BC112" s="829"/>
      <c r="BD112" s="829"/>
      <c r="BE112" s="829"/>
      <c r="BF112" s="829"/>
      <c r="BG112" s="829"/>
      <c r="BH112" s="829"/>
      <c r="BI112" s="829"/>
      <c r="BJ112" s="829"/>
      <c r="BK112" s="829"/>
      <c r="BL112" s="829"/>
      <c r="BM112" s="829"/>
      <c r="BN112" s="829"/>
      <c r="BO112" s="829"/>
    </row>
    <row r="113" spans="22:67" ht="15">
      <c r="V113" s="2674"/>
      <c r="W113" s="2674"/>
      <c r="X113" s="2674"/>
      <c r="Y113" s="2674"/>
      <c r="Z113"/>
      <c r="AN113" s="829"/>
      <c r="AO113" s="829"/>
      <c r="AP113" s="829"/>
      <c r="AQ113" s="829"/>
      <c r="AR113" s="829"/>
      <c r="AS113" s="829"/>
      <c r="AT113" s="829"/>
      <c r="AU113" s="829"/>
      <c r="AV113" s="829"/>
      <c r="AW113" s="829"/>
      <c r="AX113" s="829"/>
      <c r="AY113" s="829"/>
      <c r="AZ113" s="829"/>
      <c r="BA113" s="829"/>
      <c r="BB113" s="829"/>
      <c r="BC113" s="829"/>
      <c r="BD113" s="829"/>
      <c r="BE113" s="829"/>
      <c r="BF113" s="829"/>
      <c r="BG113" s="829"/>
      <c r="BH113" s="829"/>
      <c r="BI113" s="829"/>
      <c r="BJ113" s="829"/>
      <c r="BK113" s="829"/>
      <c r="BL113" s="829"/>
      <c r="BM113" s="829"/>
      <c r="BN113" s="829"/>
      <c r="BO113" s="829"/>
    </row>
    <row r="114" ht="15">
      <c r="Z114"/>
    </row>
  </sheetData>
  <mergeCells count="103">
    <mergeCell ref="B42:B59"/>
    <mergeCell ref="BS94:CB94"/>
    <mergeCell ref="BS5:CB9"/>
    <mergeCell ref="BS11:CB11"/>
    <mergeCell ref="BS13:CB13"/>
    <mergeCell ref="BS39:CB39"/>
    <mergeCell ref="CA70:CA71"/>
    <mergeCell ref="CB70:CB71"/>
    <mergeCell ref="AY7:BH9"/>
    <mergeCell ref="Z85:Z86"/>
    <mergeCell ref="AB48:AM48"/>
    <mergeCell ref="E13:AA13"/>
    <mergeCell ref="AN13:AX13"/>
    <mergeCell ref="A93:AA93"/>
    <mergeCell ref="C76:C79"/>
    <mergeCell ref="A88:D88"/>
    <mergeCell ref="A89:A90"/>
    <mergeCell ref="B89:B90"/>
    <mergeCell ref="M17:X17"/>
    <mergeCell ref="BI5:BR9"/>
    <mergeCell ref="BI13:BR13"/>
    <mergeCell ref="BI39:BR39"/>
    <mergeCell ref="A14:AA14"/>
    <mergeCell ref="AY13:BH13"/>
    <mergeCell ref="A36:D36"/>
    <mergeCell ref="C31:C33"/>
    <mergeCell ref="C34:C35"/>
    <mergeCell ref="A37:D37"/>
    <mergeCell ref="A38:AA38"/>
    <mergeCell ref="A39:D39"/>
    <mergeCell ref="E39:AA39"/>
    <mergeCell ref="D34:D35"/>
    <mergeCell ref="D23:D24"/>
    <mergeCell ref="A13:D13"/>
    <mergeCell ref="A16:A24"/>
    <mergeCell ref="B16:B24"/>
    <mergeCell ref="C18:C24"/>
    <mergeCell ref="D19:D20"/>
    <mergeCell ref="D21:D22"/>
    <mergeCell ref="A25:D25"/>
    <mergeCell ref="A26:A35"/>
    <mergeCell ref="B26:B35"/>
    <mergeCell ref="C28:C30"/>
    <mergeCell ref="A1:C4"/>
    <mergeCell ref="D1:BO2"/>
    <mergeCell ref="A8:AA8"/>
    <mergeCell ref="A9:AA9"/>
    <mergeCell ref="A11:D11"/>
    <mergeCell ref="E11:AA11"/>
    <mergeCell ref="BI11:BR11"/>
    <mergeCell ref="D3:BO4"/>
    <mergeCell ref="A5:AA5"/>
    <mergeCell ref="AN5:AX6"/>
    <mergeCell ref="AY5:BH6"/>
    <mergeCell ref="AN11:AX11"/>
    <mergeCell ref="AY11:BH11"/>
    <mergeCell ref="A6:AA6"/>
    <mergeCell ref="A7:AA7"/>
    <mergeCell ref="AN7:AX9"/>
    <mergeCell ref="C53:C54"/>
    <mergeCell ref="C55:C56"/>
    <mergeCell ref="A42:A56"/>
    <mergeCell ref="C42:C52"/>
    <mergeCell ref="A91:D91"/>
    <mergeCell ref="A92:D92"/>
    <mergeCell ref="AY39:BH39"/>
    <mergeCell ref="AB79:AC79"/>
    <mergeCell ref="C80:C87"/>
    <mergeCell ref="D85:D86"/>
    <mergeCell ref="A60:D60"/>
    <mergeCell ref="A61:A87"/>
    <mergeCell ref="B61:B87"/>
    <mergeCell ref="C61:C72"/>
    <mergeCell ref="AB61:AM61"/>
    <mergeCell ref="AB62:AM62"/>
    <mergeCell ref="AB63:AM63"/>
    <mergeCell ref="AN39:AX39"/>
    <mergeCell ref="AB51:AM51"/>
    <mergeCell ref="AB52:AM52"/>
    <mergeCell ref="D70:D71"/>
    <mergeCell ref="C74:C75"/>
    <mergeCell ref="M43:X43"/>
    <mergeCell ref="C57:C59"/>
    <mergeCell ref="A106:D106"/>
    <mergeCell ref="A109:AA109"/>
    <mergeCell ref="A110:AA110"/>
    <mergeCell ref="V112:Y112"/>
    <mergeCell ref="V113:Y113"/>
    <mergeCell ref="BQ70:BQ71"/>
    <mergeCell ref="BR70:BR71"/>
    <mergeCell ref="AN94:AX94"/>
    <mergeCell ref="AY94:BH94"/>
    <mergeCell ref="BI94:BR94"/>
    <mergeCell ref="BG70:BG71"/>
    <mergeCell ref="A105:D105"/>
    <mergeCell ref="A95:AA95"/>
    <mergeCell ref="A98:D98"/>
    <mergeCell ref="A99:A104"/>
    <mergeCell ref="B99:B104"/>
    <mergeCell ref="C99:C100"/>
    <mergeCell ref="C101:C104"/>
    <mergeCell ref="A94:D94"/>
    <mergeCell ref="E94:AA94"/>
  </mergeCells>
  <printOptions horizontalCentered="1" verticalCentered="1"/>
  <pageMargins left="0.31496062992125984" right="0.31496062992125984" top="0.5511811023622047" bottom="0.5511811023622047" header="0.31496062992125984" footer="0.31496062992125984"/>
  <pageSetup horizontalDpi="600" verticalDpi="600" orientation="landscape" scale="75" r:id="rId4"/>
  <ignoredErrors>
    <ignoredError sqref="AY16:AY24 AY26:AY33 AY34:AY35" formulaRange="1"/>
  </ignoredErrors>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9"/>
  <sheetViews>
    <sheetView zoomScale="85" zoomScaleNormal="85" zoomScaleSheetLayoutView="80" workbookViewId="0" topLeftCell="A31">
      <selection activeCell="BX50" sqref="BV50:BX61"/>
    </sheetView>
  </sheetViews>
  <sheetFormatPr defaultColWidth="12.57421875" defaultRowHeight="15"/>
  <cols>
    <col min="1" max="1" width="7.140625" style="830" customWidth="1"/>
    <col min="2" max="2" width="24.28125" style="831" customWidth="1"/>
    <col min="3" max="3" width="41.140625" style="830" customWidth="1"/>
    <col min="4" max="4" width="40.57421875" style="830" customWidth="1"/>
    <col min="5" max="5" width="15.7109375" style="830" customWidth="1"/>
    <col min="6" max="6" width="12.7109375" style="830" customWidth="1"/>
    <col min="7" max="7" width="18.28125" style="830" customWidth="1"/>
    <col min="8" max="8" width="28.140625" style="830" customWidth="1"/>
    <col min="9" max="9" width="12.8515625" style="830" customWidth="1"/>
    <col min="10" max="10" width="43.140625" style="830" customWidth="1"/>
    <col min="11" max="11" width="14.00390625" style="830" customWidth="1"/>
    <col min="12" max="12" width="12.421875" style="830" customWidth="1"/>
    <col min="13" max="13" width="7.140625" style="830" customWidth="1"/>
    <col min="14" max="24" width="6.28125" style="830" customWidth="1"/>
    <col min="25" max="25" width="12.421875" style="830" customWidth="1"/>
    <col min="26" max="26" width="27.28125" style="830" customWidth="1"/>
    <col min="27" max="27" width="24.421875" style="830" customWidth="1"/>
    <col min="28" max="28" width="12.57421875" style="1288" hidden="1" customWidth="1"/>
    <col min="29" max="29" width="12.57421875" style="1359" hidden="1" customWidth="1"/>
    <col min="30" max="30" width="12.57421875" style="1449" hidden="1" customWidth="1"/>
    <col min="31" max="33" width="12.57421875" style="1359" hidden="1" customWidth="1"/>
    <col min="34" max="36" width="12.57421875" style="830" hidden="1" customWidth="1"/>
    <col min="37" max="37" width="30.7109375" style="830" hidden="1" customWidth="1"/>
    <col min="38" max="46" width="12.57421875" style="830" hidden="1" customWidth="1"/>
    <col min="47" max="47" width="36.00390625" style="830" hidden="1" customWidth="1"/>
    <col min="48" max="55" width="12.57421875" style="830" hidden="1" customWidth="1"/>
    <col min="56" max="56" width="18.28125" style="830" hidden="1" customWidth="1"/>
    <col min="57" max="57" width="51.140625" style="830" hidden="1" customWidth="1"/>
    <col min="58" max="58" width="15.28125" style="830" hidden="1" customWidth="1"/>
    <col min="59" max="59" width="14.7109375" style="830" customWidth="1"/>
    <col min="60" max="62" width="12.57421875" style="830" customWidth="1"/>
    <col min="63" max="63" width="16.8515625" style="830" customWidth="1"/>
    <col min="64" max="65" width="12.57421875" style="830" customWidth="1"/>
    <col min="66" max="66" width="15.421875" style="830" customWidth="1"/>
    <col min="67" max="67" width="45.57421875" style="830" customWidth="1"/>
    <col min="68" max="68" width="20.57421875" style="830" customWidth="1"/>
    <col min="69" max="16384" width="12.57421875" style="830" customWidth="1"/>
  </cols>
  <sheetData>
    <row r="1" spans="1:55" ht="15" customHeight="1" thickBot="1">
      <c r="A1" s="2514"/>
      <c r="B1" s="2514"/>
      <c r="C1" s="2514"/>
      <c r="D1" s="2515" t="s">
        <v>0</v>
      </c>
      <c r="E1" s="2515"/>
      <c r="F1" s="2515"/>
      <c r="G1" s="2515"/>
      <c r="H1" s="2515"/>
      <c r="I1" s="2515"/>
      <c r="J1" s="2515"/>
      <c r="K1" s="2515"/>
      <c r="L1" s="2515"/>
      <c r="M1" s="2515"/>
      <c r="N1" s="2515"/>
      <c r="O1" s="2515"/>
      <c r="P1" s="2515"/>
      <c r="Q1" s="2515"/>
      <c r="R1" s="2515"/>
      <c r="S1" s="2515"/>
      <c r="T1" s="2515"/>
      <c r="U1" s="2515"/>
      <c r="V1" s="2515"/>
      <c r="W1" s="2515"/>
      <c r="X1" s="2515"/>
      <c r="Y1" s="2515"/>
      <c r="Z1" s="2515"/>
      <c r="AA1" s="2515"/>
      <c r="AB1" s="2515"/>
      <c r="AC1" s="2515"/>
      <c r="AD1" s="2515"/>
      <c r="AE1" s="2515"/>
      <c r="AF1" s="2515"/>
      <c r="AG1" s="2515"/>
      <c r="AH1" s="2515"/>
      <c r="AI1" s="2515"/>
      <c r="AJ1" s="2515"/>
      <c r="AK1" s="2515"/>
      <c r="AL1" s="2515"/>
      <c r="AM1" s="2515"/>
      <c r="AN1" s="2515"/>
      <c r="AO1" s="2515"/>
      <c r="AP1" s="2515"/>
      <c r="AQ1" s="2515"/>
      <c r="AR1" s="2515"/>
      <c r="AS1" s="2515"/>
      <c r="AT1" s="2515"/>
      <c r="AU1" s="2515"/>
      <c r="AV1" s="2515"/>
      <c r="AW1" s="2515"/>
      <c r="AX1" s="2515"/>
      <c r="AY1" s="2515"/>
      <c r="AZ1" s="2515"/>
      <c r="BA1" s="2515"/>
      <c r="BB1" s="2515"/>
      <c r="BC1" s="2515"/>
    </row>
    <row r="2" spans="1:55" ht="20.25" customHeight="1" thickBot="1">
      <c r="A2" s="2514"/>
      <c r="B2" s="2514"/>
      <c r="C2" s="2514"/>
      <c r="D2" s="2515"/>
      <c r="E2" s="2515"/>
      <c r="F2" s="2515"/>
      <c r="G2" s="2515"/>
      <c r="H2" s="2515"/>
      <c r="I2" s="2515"/>
      <c r="J2" s="2515"/>
      <c r="K2" s="2515"/>
      <c r="L2" s="2515"/>
      <c r="M2" s="2515"/>
      <c r="N2" s="2515"/>
      <c r="O2" s="2515"/>
      <c r="P2" s="2515"/>
      <c r="Q2" s="2515"/>
      <c r="R2" s="2515"/>
      <c r="S2" s="2515"/>
      <c r="T2" s="2515"/>
      <c r="U2" s="2515"/>
      <c r="V2" s="2515"/>
      <c r="W2" s="2515"/>
      <c r="X2" s="2515"/>
      <c r="Y2" s="2515"/>
      <c r="Z2" s="2515"/>
      <c r="AA2" s="2515"/>
      <c r="AB2" s="2515"/>
      <c r="AC2" s="2515"/>
      <c r="AD2" s="2515"/>
      <c r="AE2" s="2515"/>
      <c r="AF2" s="2515"/>
      <c r="AG2" s="2515"/>
      <c r="AH2" s="2515"/>
      <c r="AI2" s="2515"/>
      <c r="AJ2" s="2515"/>
      <c r="AK2" s="2515"/>
      <c r="AL2" s="2515"/>
      <c r="AM2" s="2515"/>
      <c r="AN2" s="2515"/>
      <c r="AO2" s="2515"/>
      <c r="AP2" s="2515"/>
      <c r="AQ2" s="2515"/>
      <c r="AR2" s="2515"/>
      <c r="AS2" s="2515"/>
      <c r="AT2" s="2515"/>
      <c r="AU2" s="2515"/>
      <c r="AV2" s="2515"/>
      <c r="AW2" s="2515"/>
      <c r="AX2" s="2515"/>
      <c r="AY2" s="2515"/>
      <c r="AZ2" s="2515"/>
      <c r="BA2" s="2515"/>
      <c r="BB2" s="2515"/>
      <c r="BC2" s="2515"/>
    </row>
    <row r="3" spans="1:55" ht="19.5" customHeight="1" thickBot="1">
      <c r="A3" s="2514"/>
      <c r="B3" s="2514"/>
      <c r="C3" s="2514"/>
      <c r="D3" s="2516" t="s">
        <v>3</v>
      </c>
      <c r="E3" s="2516"/>
      <c r="F3" s="2516"/>
      <c r="G3" s="2516"/>
      <c r="H3" s="2516"/>
      <c r="I3" s="2516"/>
      <c r="J3" s="2516"/>
      <c r="K3" s="2516"/>
      <c r="L3" s="2516"/>
      <c r="M3" s="2516"/>
      <c r="N3" s="2516"/>
      <c r="O3" s="2516"/>
      <c r="P3" s="2516"/>
      <c r="Q3" s="2516"/>
      <c r="R3" s="2516"/>
      <c r="S3" s="2516"/>
      <c r="T3" s="2516"/>
      <c r="U3" s="2516"/>
      <c r="V3" s="2516"/>
      <c r="W3" s="2516"/>
      <c r="X3" s="2516"/>
      <c r="Y3" s="2516"/>
      <c r="Z3" s="2516"/>
      <c r="AA3" s="2516"/>
      <c r="AB3" s="2516"/>
      <c r="AC3" s="2516"/>
      <c r="AD3" s="2516"/>
      <c r="AE3" s="2516"/>
      <c r="AF3" s="2516"/>
      <c r="AG3" s="2516"/>
      <c r="AH3" s="2516"/>
      <c r="AI3" s="2516"/>
      <c r="AJ3" s="2516"/>
      <c r="AK3" s="2516"/>
      <c r="AL3" s="2516"/>
      <c r="AM3" s="2516"/>
      <c r="AN3" s="2516"/>
      <c r="AO3" s="2516"/>
      <c r="AP3" s="2516"/>
      <c r="AQ3" s="2516"/>
      <c r="AR3" s="2516"/>
      <c r="AS3" s="2516"/>
      <c r="AT3" s="2516"/>
      <c r="AU3" s="2516"/>
      <c r="AV3" s="2516"/>
      <c r="AW3" s="2516"/>
      <c r="AX3" s="2516"/>
      <c r="AY3" s="2516"/>
      <c r="AZ3" s="2516"/>
      <c r="BA3" s="2516"/>
      <c r="BB3" s="2516"/>
      <c r="BC3" s="2516"/>
    </row>
    <row r="4" spans="1:55" ht="21.75" customHeight="1" thickBot="1">
      <c r="A4" s="2514"/>
      <c r="B4" s="2514"/>
      <c r="C4" s="2514"/>
      <c r="D4" s="2516"/>
      <c r="E4" s="2516"/>
      <c r="F4" s="2516"/>
      <c r="G4" s="2516"/>
      <c r="H4" s="2516"/>
      <c r="I4" s="2516"/>
      <c r="J4" s="2516"/>
      <c r="K4" s="2516"/>
      <c r="L4" s="2516"/>
      <c r="M4" s="2516"/>
      <c r="N4" s="2516"/>
      <c r="O4" s="2516"/>
      <c r="P4" s="2516"/>
      <c r="Q4" s="2516"/>
      <c r="R4" s="2516"/>
      <c r="S4" s="2516"/>
      <c r="T4" s="2516"/>
      <c r="U4" s="2516"/>
      <c r="V4" s="2516"/>
      <c r="W4" s="2516"/>
      <c r="X4" s="2516"/>
      <c r="Y4" s="2516"/>
      <c r="Z4" s="2516"/>
      <c r="AA4" s="2516"/>
      <c r="AB4" s="2516"/>
      <c r="AC4" s="2516"/>
      <c r="AD4" s="2516"/>
      <c r="AE4" s="2516"/>
      <c r="AF4" s="2516"/>
      <c r="AG4" s="2516"/>
      <c r="AH4" s="2516"/>
      <c r="AI4" s="2516"/>
      <c r="AJ4" s="2516"/>
      <c r="AK4" s="2516"/>
      <c r="AL4" s="2516"/>
      <c r="AM4" s="2516"/>
      <c r="AN4" s="2516"/>
      <c r="AO4" s="2516"/>
      <c r="AP4" s="2516"/>
      <c r="AQ4" s="2516"/>
      <c r="AR4" s="2516"/>
      <c r="AS4" s="2516"/>
      <c r="AT4" s="2516"/>
      <c r="AU4" s="2516"/>
      <c r="AV4" s="2516"/>
      <c r="AW4" s="2517"/>
      <c r="AX4" s="2517"/>
      <c r="AY4" s="2517"/>
      <c r="AZ4" s="2517"/>
      <c r="BA4" s="2517"/>
      <c r="BB4" s="2517"/>
      <c r="BC4" s="2517"/>
    </row>
    <row r="5" spans="1:68" ht="20.25" customHeight="1" thickBot="1">
      <c r="A5" s="2539" t="s">
        <v>4</v>
      </c>
      <c r="B5" s="2539"/>
      <c r="C5" s="2539"/>
      <c r="D5" s="2539"/>
      <c r="E5" s="2539"/>
      <c r="F5" s="2539"/>
      <c r="G5" s="2539"/>
      <c r="H5" s="2539"/>
      <c r="I5" s="2539"/>
      <c r="J5" s="2539"/>
      <c r="K5" s="2539"/>
      <c r="L5" s="2539"/>
      <c r="M5" s="2539"/>
      <c r="N5" s="2539"/>
      <c r="O5" s="2539"/>
      <c r="P5" s="2539"/>
      <c r="Q5" s="2539"/>
      <c r="R5" s="2539"/>
      <c r="S5" s="2539"/>
      <c r="T5" s="2539"/>
      <c r="U5" s="2539"/>
      <c r="V5" s="2539"/>
      <c r="W5" s="2539"/>
      <c r="X5" s="2539"/>
      <c r="Y5" s="2539"/>
      <c r="Z5" s="2539"/>
      <c r="AA5" s="2539"/>
      <c r="AB5" s="2540" t="s">
        <v>4</v>
      </c>
      <c r="AC5" s="2540"/>
      <c r="AD5" s="2540"/>
      <c r="AE5" s="2540"/>
      <c r="AF5" s="2540"/>
      <c r="AG5" s="2540"/>
      <c r="AH5" s="2540"/>
      <c r="AI5" s="2540"/>
      <c r="AJ5" s="2540"/>
      <c r="AK5" s="2540"/>
      <c r="AL5" s="2540"/>
      <c r="AM5" s="2541" t="s">
        <v>4</v>
      </c>
      <c r="AN5" s="2541"/>
      <c r="AO5" s="2541"/>
      <c r="AP5" s="2541"/>
      <c r="AQ5" s="2541"/>
      <c r="AR5" s="2541"/>
      <c r="AS5" s="2541"/>
      <c r="AT5" s="2541"/>
      <c r="AU5" s="2541"/>
      <c r="AV5" s="2542"/>
      <c r="AW5" s="2520" t="s">
        <v>2852</v>
      </c>
      <c r="AX5" s="2521"/>
      <c r="AY5" s="2521"/>
      <c r="AZ5" s="2521"/>
      <c r="BA5" s="2521"/>
      <c r="BB5" s="2521"/>
      <c r="BC5" s="2521"/>
      <c r="BD5" s="2521"/>
      <c r="BE5" s="2521"/>
      <c r="BF5" s="2522"/>
      <c r="BG5" s="2575" t="s">
        <v>2856</v>
      </c>
      <c r="BH5" s="2576"/>
      <c r="BI5" s="2576"/>
      <c r="BJ5" s="2576"/>
      <c r="BK5" s="2576"/>
      <c r="BL5" s="2576"/>
      <c r="BM5" s="2576"/>
      <c r="BN5" s="2576"/>
      <c r="BO5" s="2576"/>
      <c r="BP5" s="2577"/>
    </row>
    <row r="6" spans="1:68" ht="15.75" customHeight="1">
      <c r="A6" s="2535" t="s">
        <v>5</v>
      </c>
      <c r="B6" s="2535"/>
      <c r="C6" s="2535"/>
      <c r="D6" s="2535"/>
      <c r="E6" s="2535"/>
      <c r="F6" s="2535"/>
      <c r="G6" s="2535"/>
      <c r="H6" s="2535"/>
      <c r="I6" s="2535"/>
      <c r="J6" s="2535"/>
      <c r="K6" s="2535"/>
      <c r="L6" s="2535"/>
      <c r="M6" s="2535"/>
      <c r="N6" s="2535"/>
      <c r="O6" s="2535"/>
      <c r="P6" s="2535"/>
      <c r="Q6" s="2535"/>
      <c r="R6" s="2535"/>
      <c r="S6" s="2535"/>
      <c r="T6" s="2535"/>
      <c r="U6" s="2535"/>
      <c r="V6" s="2535"/>
      <c r="W6" s="2535"/>
      <c r="X6" s="2535"/>
      <c r="Y6" s="2535"/>
      <c r="Z6" s="2535"/>
      <c r="AA6" s="2535"/>
      <c r="AB6" s="2540"/>
      <c r="AC6" s="2540"/>
      <c r="AD6" s="2540"/>
      <c r="AE6" s="2540"/>
      <c r="AF6" s="2540"/>
      <c r="AG6" s="2540"/>
      <c r="AH6" s="2540"/>
      <c r="AI6" s="2540"/>
      <c r="AJ6" s="2540"/>
      <c r="AK6" s="2540"/>
      <c r="AL6" s="2540"/>
      <c r="AM6" s="2541"/>
      <c r="AN6" s="2541"/>
      <c r="AO6" s="2541"/>
      <c r="AP6" s="2541"/>
      <c r="AQ6" s="2541"/>
      <c r="AR6" s="2541"/>
      <c r="AS6" s="2541"/>
      <c r="AT6" s="2541"/>
      <c r="AU6" s="2541"/>
      <c r="AV6" s="2542"/>
      <c r="AW6" s="2523"/>
      <c r="AX6" s="2524"/>
      <c r="AY6" s="2524"/>
      <c r="AZ6" s="2524"/>
      <c r="BA6" s="2524"/>
      <c r="BB6" s="2524"/>
      <c r="BC6" s="2524"/>
      <c r="BD6" s="2524"/>
      <c r="BE6" s="2524"/>
      <c r="BF6" s="2525"/>
      <c r="BG6" s="2578"/>
      <c r="BH6" s="2579"/>
      <c r="BI6" s="2579"/>
      <c r="BJ6" s="2579"/>
      <c r="BK6" s="2579"/>
      <c r="BL6" s="2579"/>
      <c r="BM6" s="2579"/>
      <c r="BN6" s="2579"/>
      <c r="BO6" s="2579"/>
      <c r="BP6" s="2580"/>
    </row>
    <row r="7" spans="1:68" ht="15.75" customHeight="1" thickBot="1">
      <c r="A7" s="2535"/>
      <c r="B7" s="2535"/>
      <c r="C7" s="2535"/>
      <c r="D7" s="2535"/>
      <c r="E7" s="2535"/>
      <c r="F7" s="2535"/>
      <c r="G7" s="2535"/>
      <c r="H7" s="2535"/>
      <c r="I7" s="2535"/>
      <c r="J7" s="2535"/>
      <c r="K7" s="2535"/>
      <c r="L7" s="2535"/>
      <c r="M7" s="2535"/>
      <c r="N7" s="2535"/>
      <c r="O7" s="2535"/>
      <c r="P7" s="2535"/>
      <c r="Q7" s="2535"/>
      <c r="R7" s="2535"/>
      <c r="S7" s="2535"/>
      <c r="T7" s="2535"/>
      <c r="U7" s="2535"/>
      <c r="V7" s="2535"/>
      <c r="W7" s="2535"/>
      <c r="X7" s="2535"/>
      <c r="Y7" s="2535"/>
      <c r="Z7" s="2535"/>
      <c r="AA7" s="2535"/>
      <c r="AB7" s="2536" t="s">
        <v>2452</v>
      </c>
      <c r="AC7" s="2536"/>
      <c r="AD7" s="2536"/>
      <c r="AE7" s="2536"/>
      <c r="AF7" s="2536"/>
      <c r="AG7" s="2536"/>
      <c r="AH7" s="2536"/>
      <c r="AI7" s="2536"/>
      <c r="AJ7" s="2536"/>
      <c r="AK7" s="2536"/>
      <c r="AL7" s="2536"/>
      <c r="AM7" s="2537" t="s">
        <v>2451</v>
      </c>
      <c r="AN7" s="2537"/>
      <c r="AO7" s="2537"/>
      <c r="AP7" s="2537"/>
      <c r="AQ7" s="2537"/>
      <c r="AR7" s="2537"/>
      <c r="AS7" s="2537"/>
      <c r="AT7" s="2537"/>
      <c r="AU7" s="2537"/>
      <c r="AV7" s="2538"/>
      <c r="AW7" s="2523"/>
      <c r="AX7" s="2524"/>
      <c r="AY7" s="2524"/>
      <c r="AZ7" s="2524"/>
      <c r="BA7" s="2524"/>
      <c r="BB7" s="2524"/>
      <c r="BC7" s="2524"/>
      <c r="BD7" s="2524"/>
      <c r="BE7" s="2524"/>
      <c r="BF7" s="2525"/>
      <c r="BG7" s="2578"/>
      <c r="BH7" s="2579"/>
      <c r="BI7" s="2579"/>
      <c r="BJ7" s="2579"/>
      <c r="BK7" s="2579"/>
      <c r="BL7" s="2579"/>
      <c r="BM7" s="2579"/>
      <c r="BN7" s="2579"/>
      <c r="BO7" s="2579"/>
      <c r="BP7" s="2580"/>
    </row>
    <row r="8" spans="1:68" ht="15.75" customHeight="1" thickBot="1">
      <c r="A8" s="2535" t="s">
        <v>6</v>
      </c>
      <c r="B8" s="2535"/>
      <c r="C8" s="2535"/>
      <c r="D8" s="2535"/>
      <c r="E8" s="2535"/>
      <c r="F8" s="2535"/>
      <c r="G8" s="2535"/>
      <c r="H8" s="2535"/>
      <c r="I8" s="2535"/>
      <c r="J8" s="2535"/>
      <c r="K8" s="2535"/>
      <c r="L8" s="2535"/>
      <c r="M8" s="2535"/>
      <c r="N8" s="2535"/>
      <c r="O8" s="2535"/>
      <c r="P8" s="2535"/>
      <c r="Q8" s="2535"/>
      <c r="R8" s="2535"/>
      <c r="S8" s="2535"/>
      <c r="T8" s="2535"/>
      <c r="U8" s="2535"/>
      <c r="V8" s="2535"/>
      <c r="W8" s="2535"/>
      <c r="X8" s="2535"/>
      <c r="Y8" s="2535"/>
      <c r="Z8" s="2535"/>
      <c r="AA8" s="2535"/>
      <c r="AB8" s="2536"/>
      <c r="AC8" s="2536"/>
      <c r="AD8" s="2536"/>
      <c r="AE8" s="2536"/>
      <c r="AF8" s="2536"/>
      <c r="AG8" s="2536"/>
      <c r="AH8" s="2536"/>
      <c r="AI8" s="2536"/>
      <c r="AJ8" s="2536"/>
      <c r="AK8" s="2536"/>
      <c r="AL8" s="2536"/>
      <c r="AM8" s="2537"/>
      <c r="AN8" s="2537"/>
      <c r="AO8" s="2537"/>
      <c r="AP8" s="2537"/>
      <c r="AQ8" s="2537"/>
      <c r="AR8" s="2537"/>
      <c r="AS8" s="2537"/>
      <c r="AT8" s="2537"/>
      <c r="AU8" s="2537"/>
      <c r="AV8" s="2538"/>
      <c r="AW8" s="2523"/>
      <c r="AX8" s="2524"/>
      <c r="AY8" s="2524"/>
      <c r="AZ8" s="2524"/>
      <c r="BA8" s="2524"/>
      <c r="BB8" s="2524"/>
      <c r="BC8" s="2524"/>
      <c r="BD8" s="2524"/>
      <c r="BE8" s="2524"/>
      <c r="BF8" s="2525"/>
      <c r="BG8" s="2578"/>
      <c r="BH8" s="2579"/>
      <c r="BI8" s="2579"/>
      <c r="BJ8" s="2579"/>
      <c r="BK8" s="2579"/>
      <c r="BL8" s="2579"/>
      <c r="BM8" s="2579"/>
      <c r="BN8" s="2579"/>
      <c r="BO8" s="2579"/>
      <c r="BP8" s="2580"/>
    </row>
    <row r="9" spans="1:68" ht="15.75" customHeight="1" thickBot="1">
      <c r="A9" s="2546">
        <v>2015</v>
      </c>
      <c r="B9" s="2546"/>
      <c r="C9" s="2546"/>
      <c r="D9" s="2546"/>
      <c r="E9" s="2546"/>
      <c r="F9" s="2546"/>
      <c r="G9" s="2546"/>
      <c r="H9" s="2546"/>
      <c r="I9" s="2546"/>
      <c r="J9" s="2546"/>
      <c r="K9" s="2546"/>
      <c r="L9" s="2546"/>
      <c r="M9" s="2546"/>
      <c r="N9" s="2546"/>
      <c r="O9" s="2546"/>
      <c r="P9" s="2546"/>
      <c r="Q9" s="2546"/>
      <c r="R9" s="2546"/>
      <c r="S9" s="2546"/>
      <c r="T9" s="2546"/>
      <c r="U9" s="2546"/>
      <c r="V9" s="2546"/>
      <c r="W9" s="2546"/>
      <c r="X9" s="2546"/>
      <c r="Y9" s="2546"/>
      <c r="Z9" s="2546"/>
      <c r="AA9" s="2546"/>
      <c r="AB9" s="2536"/>
      <c r="AC9" s="2536"/>
      <c r="AD9" s="2536"/>
      <c r="AE9" s="2536"/>
      <c r="AF9" s="2536"/>
      <c r="AG9" s="2536"/>
      <c r="AH9" s="2536"/>
      <c r="AI9" s="2536"/>
      <c r="AJ9" s="2536"/>
      <c r="AK9" s="2536"/>
      <c r="AL9" s="2536"/>
      <c r="AM9" s="2537"/>
      <c r="AN9" s="2537"/>
      <c r="AO9" s="2537"/>
      <c r="AP9" s="2537"/>
      <c r="AQ9" s="2537"/>
      <c r="AR9" s="2537"/>
      <c r="AS9" s="2537"/>
      <c r="AT9" s="2537"/>
      <c r="AU9" s="2537"/>
      <c r="AV9" s="2538"/>
      <c r="AW9" s="2526"/>
      <c r="AX9" s="2527"/>
      <c r="AY9" s="2527"/>
      <c r="AZ9" s="2527"/>
      <c r="BA9" s="2527"/>
      <c r="BB9" s="2527"/>
      <c r="BC9" s="2527"/>
      <c r="BD9" s="2527"/>
      <c r="BE9" s="2527"/>
      <c r="BF9" s="2528"/>
      <c r="BG9" s="2581"/>
      <c r="BH9" s="2582"/>
      <c r="BI9" s="2582"/>
      <c r="BJ9" s="2582"/>
      <c r="BK9" s="2582"/>
      <c r="BL9" s="2582"/>
      <c r="BM9" s="2582"/>
      <c r="BN9" s="2582"/>
      <c r="BO9" s="2582"/>
      <c r="BP9" s="2583"/>
    </row>
    <row r="10" spans="1:38" ht="9" customHeight="1" thickBot="1">
      <c r="A10" s="833"/>
      <c r="B10" s="898"/>
      <c r="C10" s="833"/>
      <c r="D10" s="833"/>
      <c r="E10" s="833"/>
      <c r="F10" s="1011"/>
      <c r="G10" s="833"/>
      <c r="H10" s="833"/>
      <c r="I10" s="1087"/>
      <c r="J10" s="833"/>
      <c r="K10" s="1086"/>
      <c r="L10" s="1086"/>
      <c r="M10" s="833"/>
      <c r="N10" s="833"/>
      <c r="O10" s="833"/>
      <c r="P10" s="833"/>
      <c r="Q10" s="833"/>
      <c r="R10" s="833"/>
      <c r="S10" s="833"/>
      <c r="T10" s="833"/>
      <c r="U10" s="833"/>
      <c r="V10" s="833"/>
      <c r="W10" s="833"/>
      <c r="X10" s="833"/>
      <c r="Y10" s="833"/>
      <c r="Z10" s="1085"/>
      <c r="AA10" s="833"/>
      <c r="AB10" s="1283"/>
      <c r="AC10" s="1353"/>
      <c r="AD10" s="1450"/>
      <c r="AE10" s="1353"/>
      <c r="AF10" s="1353"/>
      <c r="AG10" s="1353"/>
      <c r="AH10" s="1084"/>
      <c r="AI10" s="1084"/>
      <c r="AJ10" s="1084"/>
      <c r="AK10" s="1084"/>
      <c r="AL10" s="1084"/>
    </row>
    <row r="11" spans="1:68" s="833" customFormat="1" ht="21" customHeight="1" thickBot="1">
      <c r="A11" s="2547" t="s">
        <v>7</v>
      </c>
      <c r="B11" s="2547"/>
      <c r="C11" s="2547"/>
      <c r="D11" s="2547"/>
      <c r="E11" s="2543" t="s">
        <v>1347</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3" t="s">
        <v>1347</v>
      </c>
      <c r="AC11" s="2543"/>
      <c r="AD11" s="2543"/>
      <c r="AE11" s="2543"/>
      <c r="AF11" s="2543"/>
      <c r="AG11" s="2543"/>
      <c r="AH11" s="2543"/>
      <c r="AI11" s="2543"/>
      <c r="AJ11" s="2543"/>
      <c r="AK11" s="2543"/>
      <c r="AL11" s="2543"/>
      <c r="AM11" s="2543" t="s">
        <v>1347</v>
      </c>
      <c r="AN11" s="2543"/>
      <c r="AO11" s="2543"/>
      <c r="AP11" s="2543"/>
      <c r="AQ11" s="2543"/>
      <c r="AR11" s="2543"/>
      <c r="AS11" s="2543"/>
      <c r="AT11" s="2543"/>
      <c r="AU11" s="2543"/>
      <c r="AV11" s="2544"/>
      <c r="AW11" s="2529" t="s">
        <v>1347</v>
      </c>
      <c r="AX11" s="2530"/>
      <c r="AY11" s="2530"/>
      <c r="AZ11" s="2530"/>
      <c r="BA11" s="2530"/>
      <c r="BB11" s="2530"/>
      <c r="BC11" s="2530"/>
      <c r="BD11" s="2530"/>
      <c r="BE11" s="2530"/>
      <c r="BF11" s="2531"/>
      <c r="BG11" s="2529" t="s">
        <v>1347</v>
      </c>
      <c r="BH11" s="2530"/>
      <c r="BI11" s="2530"/>
      <c r="BJ11" s="2530"/>
      <c r="BK11" s="2530"/>
      <c r="BL11" s="2530"/>
      <c r="BM11" s="2530"/>
      <c r="BN11" s="2530"/>
      <c r="BO11" s="2530"/>
      <c r="BP11" s="2531"/>
    </row>
    <row r="12" spans="2:38" s="896" customFormat="1" ht="9.95" customHeight="1" thickBot="1">
      <c r="B12" s="1012"/>
      <c r="F12" s="1011"/>
      <c r="I12" s="1010"/>
      <c r="K12" s="1009"/>
      <c r="L12" s="1009"/>
      <c r="Z12" s="1083"/>
      <c r="AB12" s="1284"/>
      <c r="AC12" s="1354"/>
      <c r="AD12" s="1442"/>
      <c r="AE12" s="1354"/>
      <c r="AF12" s="1354"/>
      <c r="AG12" s="1354"/>
      <c r="AH12" s="1007"/>
      <c r="AI12" s="1007"/>
      <c r="AJ12" s="1007"/>
      <c r="AK12" s="1007"/>
      <c r="AL12" s="1007"/>
    </row>
    <row r="13" spans="1:68" s="898" customFormat="1" ht="21" customHeight="1" thickBot="1">
      <c r="A13" s="2549" t="s">
        <v>9</v>
      </c>
      <c r="B13" s="2549"/>
      <c r="C13" s="2549"/>
      <c r="D13" s="2549"/>
      <c r="E13" s="2550" t="s">
        <v>554</v>
      </c>
      <c r="F13" s="2550"/>
      <c r="G13" s="2550"/>
      <c r="H13" s="2550"/>
      <c r="I13" s="2550"/>
      <c r="J13" s="2550"/>
      <c r="K13" s="2550"/>
      <c r="L13" s="2550"/>
      <c r="M13" s="2550"/>
      <c r="N13" s="2550"/>
      <c r="O13" s="2550"/>
      <c r="P13" s="2550"/>
      <c r="Q13" s="2550"/>
      <c r="R13" s="2550"/>
      <c r="S13" s="2550"/>
      <c r="T13" s="2550"/>
      <c r="U13" s="2550"/>
      <c r="V13" s="2550"/>
      <c r="W13" s="2550"/>
      <c r="X13" s="2550"/>
      <c r="Y13" s="2550"/>
      <c r="Z13" s="2550"/>
      <c r="AA13" s="2550"/>
      <c r="AB13" s="2550" t="s">
        <v>554</v>
      </c>
      <c r="AC13" s="2550"/>
      <c r="AD13" s="2550"/>
      <c r="AE13" s="2550"/>
      <c r="AF13" s="2550"/>
      <c r="AG13" s="2550"/>
      <c r="AH13" s="2550"/>
      <c r="AI13" s="2550"/>
      <c r="AJ13" s="2550"/>
      <c r="AK13" s="2550"/>
      <c r="AL13" s="2550"/>
      <c r="AM13" s="2551" t="s">
        <v>554</v>
      </c>
      <c r="AN13" s="2551"/>
      <c r="AO13" s="2551"/>
      <c r="AP13" s="2551"/>
      <c r="AQ13" s="2551"/>
      <c r="AR13" s="2551"/>
      <c r="AS13" s="2551"/>
      <c r="AT13" s="2551"/>
      <c r="AU13" s="2551"/>
      <c r="AV13" s="2552"/>
      <c r="AW13" s="2532" t="s">
        <v>554</v>
      </c>
      <c r="AX13" s="2533"/>
      <c r="AY13" s="2533"/>
      <c r="AZ13" s="2533"/>
      <c r="BA13" s="2533"/>
      <c r="BB13" s="2533"/>
      <c r="BC13" s="2533"/>
      <c r="BD13" s="2533"/>
      <c r="BE13" s="2533"/>
      <c r="BF13" s="2534"/>
      <c r="BG13" s="2532" t="s">
        <v>554</v>
      </c>
      <c r="BH13" s="2533"/>
      <c r="BI13" s="2533"/>
      <c r="BJ13" s="2533"/>
      <c r="BK13" s="2533"/>
      <c r="BL13" s="2533"/>
      <c r="BM13" s="2533"/>
      <c r="BN13" s="2533"/>
      <c r="BO13" s="2533"/>
      <c r="BP13" s="2534"/>
    </row>
    <row r="14" spans="1:65" s="896" customFormat="1" ht="9.95" customHeight="1" thickBot="1">
      <c r="A14" s="2564"/>
      <c r="B14" s="2564"/>
      <c r="C14" s="2564"/>
      <c r="D14" s="2564"/>
      <c r="E14" s="2564"/>
      <c r="F14" s="2564"/>
      <c r="G14" s="2564"/>
      <c r="H14" s="2564"/>
      <c r="I14" s="2564"/>
      <c r="J14" s="2564"/>
      <c r="K14" s="2564"/>
      <c r="L14" s="2564"/>
      <c r="M14" s="2564"/>
      <c r="N14" s="2564"/>
      <c r="O14" s="2564"/>
      <c r="P14" s="2564"/>
      <c r="Q14" s="2564"/>
      <c r="R14" s="2564"/>
      <c r="S14" s="2564"/>
      <c r="T14" s="2564"/>
      <c r="U14" s="2564"/>
      <c r="V14" s="2564"/>
      <c r="W14" s="2564"/>
      <c r="X14" s="2564"/>
      <c r="Y14" s="2564"/>
      <c r="Z14" s="2564"/>
      <c r="AA14" s="2564"/>
      <c r="AB14" s="1285"/>
      <c r="AC14" s="1355"/>
      <c r="AD14" s="1443"/>
      <c r="AE14" s="1355"/>
      <c r="AF14" s="1355"/>
      <c r="AG14" s="1355"/>
      <c r="AH14" s="897"/>
      <c r="AI14" s="897"/>
      <c r="AJ14" s="897"/>
      <c r="AK14" s="897"/>
      <c r="AL14" s="897"/>
      <c r="AM14" s="897"/>
      <c r="AN14" s="897"/>
      <c r="AO14" s="897"/>
      <c r="AP14" s="897"/>
      <c r="AQ14" s="897"/>
      <c r="AR14" s="897"/>
      <c r="AS14" s="897"/>
      <c r="AT14" s="897"/>
      <c r="AU14" s="897"/>
      <c r="AV14" s="897"/>
      <c r="AW14" s="897"/>
      <c r="AX14" s="897"/>
      <c r="AY14" s="897"/>
      <c r="AZ14" s="897"/>
      <c r="BA14" s="897"/>
      <c r="BB14" s="897"/>
      <c r="BC14" s="897"/>
      <c r="BG14" s="897"/>
      <c r="BH14" s="897"/>
      <c r="BI14" s="897"/>
      <c r="BJ14" s="897"/>
      <c r="BK14" s="897"/>
      <c r="BL14" s="897"/>
      <c r="BM14" s="897"/>
    </row>
    <row r="15" spans="1:68" s="35" customFormat="1" ht="51.75" thickBot="1">
      <c r="A15" s="22" t="s">
        <v>11</v>
      </c>
      <c r="B15" s="396" t="s">
        <v>12</v>
      </c>
      <c r="C15" s="22" t="s">
        <v>13</v>
      </c>
      <c r="D15" s="322" t="s">
        <v>14</v>
      </c>
      <c r="E15" s="322" t="s">
        <v>15</v>
      </c>
      <c r="F15" s="322" t="s">
        <v>16</v>
      </c>
      <c r="G15" s="322" t="s">
        <v>17</v>
      </c>
      <c r="H15" s="322" t="s">
        <v>18</v>
      </c>
      <c r="I15" s="322" t="s">
        <v>19</v>
      </c>
      <c r="J15" s="322" t="s">
        <v>20</v>
      </c>
      <c r="K15" s="322" t="s">
        <v>1644</v>
      </c>
      <c r="L15" s="322" t="s">
        <v>22</v>
      </c>
      <c r="M15" s="484" t="s">
        <v>23</v>
      </c>
      <c r="N15" s="484" t="s">
        <v>24</v>
      </c>
      <c r="O15" s="484" t="s">
        <v>25</v>
      </c>
      <c r="P15" s="484" t="s">
        <v>26</v>
      </c>
      <c r="Q15" s="484" t="s">
        <v>27</v>
      </c>
      <c r="R15" s="484" t="s">
        <v>28</v>
      </c>
      <c r="S15" s="484" t="s">
        <v>29</v>
      </c>
      <c r="T15" s="484" t="s">
        <v>30</v>
      </c>
      <c r="U15" s="484" t="s">
        <v>31</v>
      </c>
      <c r="V15" s="484" t="s">
        <v>32</v>
      </c>
      <c r="W15" s="484" t="s">
        <v>33</v>
      </c>
      <c r="X15" s="484" t="s">
        <v>34</v>
      </c>
      <c r="Y15" s="322" t="s">
        <v>35</v>
      </c>
      <c r="Z15" s="485" t="s">
        <v>36</v>
      </c>
      <c r="AA15" s="322" t="s">
        <v>37</v>
      </c>
      <c r="AB15" s="1635" t="s">
        <v>38</v>
      </c>
      <c r="AC15" s="1613" t="s">
        <v>1781</v>
      </c>
      <c r="AD15" s="1636" t="s">
        <v>39</v>
      </c>
      <c r="AE15" s="1614" t="s">
        <v>1821</v>
      </c>
      <c r="AF15" s="1614" t="s">
        <v>1822</v>
      </c>
      <c r="AG15" s="1613" t="s">
        <v>1783</v>
      </c>
      <c r="AH15" s="1637" t="s">
        <v>40</v>
      </c>
      <c r="AI15" s="1637" t="s">
        <v>41</v>
      </c>
      <c r="AJ15" s="1637" t="s">
        <v>42</v>
      </c>
      <c r="AK15" s="1637" t="s">
        <v>43</v>
      </c>
      <c r="AL15" s="1637" t="s">
        <v>44</v>
      </c>
      <c r="AM15" s="614" t="s">
        <v>45</v>
      </c>
      <c r="AN15" s="614" t="s">
        <v>1781</v>
      </c>
      <c r="AO15" s="614" t="s">
        <v>46</v>
      </c>
      <c r="AP15" s="614" t="s">
        <v>2024</v>
      </c>
      <c r="AQ15" s="614" t="s">
        <v>1785</v>
      </c>
      <c r="AR15" s="614" t="s">
        <v>2164</v>
      </c>
      <c r="AS15" s="614" t="s">
        <v>41</v>
      </c>
      <c r="AT15" s="614" t="s">
        <v>42</v>
      </c>
      <c r="AU15" s="614" t="s">
        <v>43</v>
      </c>
      <c r="AV15" s="614" t="s">
        <v>44</v>
      </c>
      <c r="AW15" s="2067" t="s">
        <v>47</v>
      </c>
      <c r="AX15" s="2067" t="s">
        <v>1781</v>
      </c>
      <c r="AY15" s="2067" t="s">
        <v>48</v>
      </c>
      <c r="AZ15" s="2067" t="s">
        <v>2621</v>
      </c>
      <c r="BA15" s="2067" t="s">
        <v>1785</v>
      </c>
      <c r="BB15" s="2067" t="s">
        <v>2698</v>
      </c>
      <c r="BC15" s="2067" t="s">
        <v>41</v>
      </c>
      <c r="BD15" s="2067" t="s">
        <v>42</v>
      </c>
      <c r="BE15" s="2067" t="s">
        <v>43</v>
      </c>
      <c r="BF15" s="2067" t="s">
        <v>44</v>
      </c>
      <c r="BG15" s="2367" t="s">
        <v>49</v>
      </c>
      <c r="BH15" s="2367" t="s">
        <v>1781</v>
      </c>
      <c r="BI15" s="2367" t="s">
        <v>50</v>
      </c>
      <c r="BJ15" s="2367" t="s">
        <v>2857</v>
      </c>
      <c r="BK15" s="2367" t="s">
        <v>1785</v>
      </c>
      <c r="BL15" s="2367" t="s">
        <v>2947</v>
      </c>
      <c r="BM15" s="2367" t="s">
        <v>41</v>
      </c>
      <c r="BN15" s="2367" t="s">
        <v>42</v>
      </c>
      <c r="BO15" s="2367" t="s">
        <v>43</v>
      </c>
      <c r="BP15" s="2367" t="s">
        <v>44</v>
      </c>
    </row>
    <row r="16" spans="1:68" s="842" customFormat="1" ht="60" customHeight="1" thickBot="1">
      <c r="A16" s="2735">
        <v>1</v>
      </c>
      <c r="B16" s="2735" t="s">
        <v>1098</v>
      </c>
      <c r="C16" s="2736" t="s">
        <v>1131</v>
      </c>
      <c r="D16" s="1082" t="s">
        <v>1348</v>
      </c>
      <c r="E16" s="1080" t="s">
        <v>1344</v>
      </c>
      <c r="F16" s="1005">
        <v>1</v>
      </c>
      <c r="G16" s="1005" t="s">
        <v>1349</v>
      </c>
      <c r="H16" s="1005" t="s">
        <v>1571</v>
      </c>
      <c r="I16" s="1071">
        <f aca="true" t="shared" si="0" ref="I16:I24">1/11</f>
        <v>0.09090909090909091</v>
      </c>
      <c r="J16" s="857" t="s">
        <v>1350</v>
      </c>
      <c r="K16" s="1070">
        <v>42036</v>
      </c>
      <c r="L16" s="1070">
        <v>42094</v>
      </c>
      <c r="M16" s="870"/>
      <c r="N16" s="870"/>
      <c r="O16" s="870">
        <v>1</v>
      </c>
      <c r="P16" s="870"/>
      <c r="Q16" s="870"/>
      <c r="R16" s="870"/>
      <c r="S16" s="870"/>
      <c r="T16" s="870"/>
      <c r="U16" s="870"/>
      <c r="V16" s="870"/>
      <c r="W16" s="870"/>
      <c r="X16" s="870"/>
      <c r="Y16" s="962">
        <f aca="true" t="shared" si="1" ref="Y16:Y24">SUM(M16:X16)</f>
        <v>1</v>
      </c>
      <c r="Z16" s="868">
        <v>0</v>
      </c>
      <c r="AA16" s="850" t="s">
        <v>1090</v>
      </c>
      <c r="AB16" s="1638">
        <f>SUM(M16:N16)</f>
        <v>0</v>
      </c>
      <c r="AC16" s="1634">
        <f>IF(AB16=0,0%,100%)</f>
        <v>0</v>
      </c>
      <c r="AD16" s="1639">
        <v>0</v>
      </c>
      <c r="AE16" s="1634" t="s">
        <v>1090</v>
      </c>
      <c r="AF16" s="1634">
        <f>AD16/Y16</f>
        <v>0</v>
      </c>
      <c r="AG16" s="1634">
        <f>AF16</f>
        <v>0</v>
      </c>
      <c r="AH16" s="1640">
        <v>0.8</v>
      </c>
      <c r="AI16" s="1640"/>
      <c r="AJ16" s="1640"/>
      <c r="AK16" s="1640" t="s">
        <v>1890</v>
      </c>
      <c r="AL16" s="1640"/>
      <c r="AM16" s="1742">
        <f>SUM(M16:P16)</f>
        <v>1</v>
      </c>
      <c r="AN16" s="1729">
        <f aca="true" t="shared" si="2" ref="AN16:AN56">IF(AM16=0,0%,100%)</f>
        <v>1</v>
      </c>
      <c r="AO16" s="1728">
        <v>1</v>
      </c>
      <c r="AP16" s="1729">
        <f>AO16/AM16</f>
        <v>1</v>
      </c>
      <c r="AQ16" s="1729">
        <f>AO16/Y16</f>
        <v>1</v>
      </c>
      <c r="AR16" s="1729">
        <f aca="true" t="shared" si="3" ref="AR16:AR29">IF(AN16&gt;0,AP16,"-")</f>
        <v>1</v>
      </c>
      <c r="AS16" s="1749">
        <v>0</v>
      </c>
      <c r="AT16" s="1728"/>
      <c r="AU16" s="1728" t="s">
        <v>2212</v>
      </c>
      <c r="AV16" s="1728"/>
      <c r="AW16" s="2248">
        <f>SUM(M16:R16)</f>
        <v>1</v>
      </c>
      <c r="AX16" s="2218">
        <f aca="true" t="shared" si="4" ref="AX16:AX56">IF(AW16=0,0%,100%)</f>
        <v>1</v>
      </c>
      <c r="AY16" s="2196">
        <v>1</v>
      </c>
      <c r="AZ16" s="2218">
        <v>1</v>
      </c>
      <c r="BA16" s="795"/>
      <c r="BB16" s="2218">
        <v>1</v>
      </c>
      <c r="BC16" s="2308">
        <v>0</v>
      </c>
      <c r="BD16" s="2309" t="s">
        <v>1090</v>
      </c>
      <c r="BE16" s="2198" t="s">
        <v>2212</v>
      </c>
      <c r="BF16" s="795"/>
      <c r="BG16" s="2390">
        <f>SUM(M16:T16)</f>
        <v>1</v>
      </c>
      <c r="BH16" s="2391">
        <f aca="true" t="shared" si="5" ref="BH16:BH56">IF(BG16=0,0%,100%)</f>
        <v>1</v>
      </c>
      <c r="BI16" s="2392">
        <v>1</v>
      </c>
      <c r="BJ16" s="2391">
        <v>1</v>
      </c>
      <c r="BK16" s="2393"/>
      <c r="BL16" s="2391">
        <v>1</v>
      </c>
      <c r="BM16" s="2394"/>
      <c r="BN16" s="2395"/>
      <c r="BO16" s="2396" t="s">
        <v>2212</v>
      </c>
      <c r="BP16" s="2393"/>
    </row>
    <row r="17" spans="1:68" s="842" customFormat="1" ht="51.75" customHeight="1" thickBot="1">
      <c r="A17" s="2735"/>
      <c r="B17" s="2735"/>
      <c r="C17" s="2736"/>
      <c r="D17" s="1081" t="s">
        <v>1351</v>
      </c>
      <c r="E17" s="1080" t="s">
        <v>1344</v>
      </c>
      <c r="F17" s="1005">
        <v>1</v>
      </c>
      <c r="G17" s="1005" t="s">
        <v>1349</v>
      </c>
      <c r="H17" s="1005" t="s">
        <v>1643</v>
      </c>
      <c r="I17" s="1071">
        <f t="shared" si="0"/>
        <v>0.09090909090909091</v>
      </c>
      <c r="J17" s="857" t="s">
        <v>1350</v>
      </c>
      <c r="K17" s="1070">
        <v>42036</v>
      </c>
      <c r="L17" s="1070">
        <v>42094</v>
      </c>
      <c r="M17" s="932"/>
      <c r="N17" s="932"/>
      <c r="O17" s="932">
        <v>1</v>
      </c>
      <c r="P17" s="932"/>
      <c r="Q17" s="932"/>
      <c r="R17" s="932"/>
      <c r="S17" s="932"/>
      <c r="T17" s="932"/>
      <c r="U17" s="932"/>
      <c r="V17" s="932"/>
      <c r="W17" s="932"/>
      <c r="X17" s="932"/>
      <c r="Y17" s="962">
        <f t="shared" si="1"/>
        <v>1</v>
      </c>
      <c r="Z17" s="941">
        <v>0</v>
      </c>
      <c r="AA17" s="850" t="s">
        <v>1090</v>
      </c>
      <c r="AB17" s="1638">
        <f aca="true" t="shared" si="6" ref="AB17:AB26">SUM(M17:N17)</f>
        <v>0</v>
      </c>
      <c r="AC17" s="1634">
        <f aca="true" t="shared" si="7" ref="AC17:AC56">IF(AB17=0,0%,100%)</f>
        <v>0</v>
      </c>
      <c r="AD17" s="1639">
        <v>0</v>
      </c>
      <c r="AE17" s="1634" t="s">
        <v>1090</v>
      </c>
      <c r="AF17" s="1634">
        <f aca="true" t="shared" si="8" ref="AF17:AF26">AD17/Y17</f>
        <v>0</v>
      </c>
      <c r="AG17" s="1634">
        <f aca="true" t="shared" si="9" ref="AG17:AG26">AF17</f>
        <v>0</v>
      </c>
      <c r="AH17" s="1640"/>
      <c r="AI17" s="1640"/>
      <c r="AJ17" s="1640"/>
      <c r="AK17" s="1640"/>
      <c r="AL17" s="1640"/>
      <c r="AM17" s="1742">
        <f aca="true" t="shared" si="10" ref="AM17:AM26">SUM(M17:P17)</f>
        <v>1</v>
      </c>
      <c r="AN17" s="1729">
        <f t="shared" si="2"/>
        <v>1</v>
      </c>
      <c r="AO17" s="1728">
        <v>1</v>
      </c>
      <c r="AP17" s="1729">
        <v>1</v>
      </c>
      <c r="AQ17" s="1729">
        <f aca="true" t="shared" si="11" ref="AQ17:AQ26">AO17/Y17</f>
        <v>1</v>
      </c>
      <c r="AR17" s="1729">
        <f t="shared" si="3"/>
        <v>1</v>
      </c>
      <c r="AS17" s="1749">
        <v>0</v>
      </c>
      <c r="AT17" s="1728"/>
      <c r="AU17" s="1728" t="s">
        <v>2212</v>
      </c>
      <c r="AV17" s="1728"/>
      <c r="AW17" s="2248">
        <f aca="true" t="shared" si="12" ref="AW17:AW26">SUM(M17:R17)</f>
        <v>1</v>
      </c>
      <c r="AX17" s="2218">
        <f t="shared" si="4"/>
        <v>1</v>
      </c>
      <c r="AY17" s="2196">
        <v>1</v>
      </c>
      <c r="AZ17" s="2218">
        <v>1</v>
      </c>
      <c r="BA17" s="795"/>
      <c r="BB17" s="2218">
        <v>1</v>
      </c>
      <c r="BC17" s="2308">
        <v>0</v>
      </c>
      <c r="BD17" s="2309" t="s">
        <v>1090</v>
      </c>
      <c r="BE17" s="2198" t="s">
        <v>2212</v>
      </c>
      <c r="BF17" s="795"/>
      <c r="BG17" s="2390">
        <f aca="true" t="shared" si="13" ref="BG17:BG26">SUM(M17:T17)</f>
        <v>1</v>
      </c>
      <c r="BH17" s="2391">
        <f t="shared" si="5"/>
        <v>1</v>
      </c>
      <c r="BI17" s="2392">
        <v>1</v>
      </c>
      <c r="BJ17" s="2391">
        <v>1</v>
      </c>
      <c r="BK17" s="2393"/>
      <c r="BL17" s="2391">
        <v>1</v>
      </c>
      <c r="BM17" s="2394"/>
      <c r="BN17" s="2395"/>
      <c r="BO17" s="2396" t="s">
        <v>2212</v>
      </c>
      <c r="BP17" s="2393"/>
    </row>
    <row r="18" spans="1:68" s="842" customFormat="1" ht="119.25" customHeight="1" thickBot="1">
      <c r="A18" s="2735"/>
      <c r="B18" s="2735"/>
      <c r="C18" s="2736" t="s">
        <v>1137</v>
      </c>
      <c r="D18" s="1065" t="s">
        <v>1352</v>
      </c>
      <c r="E18" s="885" t="s">
        <v>1232</v>
      </c>
      <c r="F18" s="824">
        <v>1</v>
      </c>
      <c r="G18" s="885" t="s">
        <v>1353</v>
      </c>
      <c r="H18" s="1005" t="s">
        <v>1354</v>
      </c>
      <c r="I18" s="1071">
        <f t="shared" si="0"/>
        <v>0.09090909090909091</v>
      </c>
      <c r="J18" s="802" t="s">
        <v>1355</v>
      </c>
      <c r="K18" s="1070">
        <v>42036</v>
      </c>
      <c r="L18" s="1070">
        <v>42353</v>
      </c>
      <c r="M18" s="876"/>
      <c r="N18" s="876"/>
      <c r="O18" s="876"/>
      <c r="P18" s="876"/>
      <c r="Q18" s="876"/>
      <c r="R18" s="876"/>
      <c r="S18" s="876"/>
      <c r="T18" s="876"/>
      <c r="U18" s="876"/>
      <c r="V18" s="876"/>
      <c r="W18" s="876"/>
      <c r="X18" s="876">
        <v>1</v>
      </c>
      <c r="Y18" s="962">
        <f t="shared" si="1"/>
        <v>1</v>
      </c>
      <c r="Z18" s="917">
        <v>0</v>
      </c>
      <c r="AA18" s="850" t="s">
        <v>1090</v>
      </c>
      <c r="AB18" s="1638">
        <f t="shared" si="6"/>
        <v>0</v>
      </c>
      <c r="AC18" s="1634">
        <f t="shared" si="7"/>
        <v>0</v>
      </c>
      <c r="AD18" s="1639">
        <v>0</v>
      </c>
      <c r="AE18" s="1634" t="s">
        <v>1090</v>
      </c>
      <c r="AF18" s="1634">
        <f t="shared" si="8"/>
        <v>0</v>
      </c>
      <c r="AG18" s="1634">
        <f t="shared" si="9"/>
        <v>0</v>
      </c>
      <c r="AH18" s="1640">
        <v>0.05</v>
      </c>
      <c r="AI18" s="1640"/>
      <c r="AJ18" s="1640"/>
      <c r="AK18" s="1640" t="s">
        <v>1891</v>
      </c>
      <c r="AL18" s="1640"/>
      <c r="AM18" s="1742">
        <v>0</v>
      </c>
      <c r="AN18" s="1729">
        <f t="shared" si="2"/>
        <v>0</v>
      </c>
      <c r="AO18" s="1730">
        <v>0</v>
      </c>
      <c r="AP18" s="1731">
        <v>0.05</v>
      </c>
      <c r="AQ18" s="1729">
        <f t="shared" si="11"/>
        <v>0</v>
      </c>
      <c r="AR18" s="1729">
        <v>0</v>
      </c>
      <c r="AS18" s="1750">
        <v>0</v>
      </c>
      <c r="AT18" s="1730"/>
      <c r="AU18" s="1730" t="s">
        <v>1891</v>
      </c>
      <c r="AV18" s="1730"/>
      <c r="AW18" s="2248">
        <f t="shared" si="12"/>
        <v>0</v>
      </c>
      <c r="AX18" s="2218">
        <f t="shared" si="4"/>
        <v>0</v>
      </c>
      <c r="AY18" s="2197">
        <v>0</v>
      </c>
      <c r="AZ18" s="2251" t="s">
        <v>1090</v>
      </c>
      <c r="BA18" s="893"/>
      <c r="BB18" s="2251">
        <v>0</v>
      </c>
      <c r="BC18" s="2308">
        <v>0</v>
      </c>
      <c r="BD18" s="2268" t="s">
        <v>1090</v>
      </c>
      <c r="BE18" s="2199" t="s">
        <v>2810</v>
      </c>
      <c r="BF18" s="893"/>
      <c r="BG18" s="2390">
        <f t="shared" si="13"/>
        <v>0</v>
      </c>
      <c r="BH18" s="2391">
        <f t="shared" si="5"/>
        <v>0</v>
      </c>
      <c r="BI18" s="2397" t="s">
        <v>1090</v>
      </c>
      <c r="BJ18" s="2352" t="s">
        <v>1090</v>
      </c>
      <c r="BK18" s="2398"/>
      <c r="BL18" s="2352">
        <v>0.25</v>
      </c>
      <c r="BM18" s="2394"/>
      <c r="BN18" s="2351"/>
      <c r="BO18" s="2354" t="s">
        <v>2810</v>
      </c>
      <c r="BP18" s="2398"/>
    </row>
    <row r="19" spans="1:68" s="842" customFormat="1" ht="51.75" thickBot="1">
      <c r="A19" s="2735"/>
      <c r="B19" s="2735"/>
      <c r="C19" s="2736"/>
      <c r="D19" s="1065" t="s">
        <v>1356</v>
      </c>
      <c r="E19" s="885" t="s">
        <v>1357</v>
      </c>
      <c r="F19" s="824">
        <v>1</v>
      </c>
      <c r="G19" s="1005" t="s">
        <v>1358</v>
      </c>
      <c r="H19" s="1005" t="s">
        <v>1571</v>
      </c>
      <c r="I19" s="1071">
        <f t="shared" si="0"/>
        <v>0.09090909090909091</v>
      </c>
      <c r="J19" s="857" t="s">
        <v>1359</v>
      </c>
      <c r="K19" s="877">
        <v>42095</v>
      </c>
      <c r="L19" s="877">
        <v>42353</v>
      </c>
      <c r="M19" s="876"/>
      <c r="N19" s="876"/>
      <c r="O19" s="876"/>
      <c r="P19" s="876"/>
      <c r="Q19" s="876"/>
      <c r="R19" s="876"/>
      <c r="S19" s="876"/>
      <c r="T19" s="876"/>
      <c r="U19" s="876"/>
      <c r="V19" s="876"/>
      <c r="W19" s="876"/>
      <c r="X19" s="876">
        <v>1</v>
      </c>
      <c r="Y19" s="962">
        <f t="shared" si="1"/>
        <v>1</v>
      </c>
      <c r="Z19" s="917">
        <v>0</v>
      </c>
      <c r="AA19" s="850" t="s">
        <v>1090</v>
      </c>
      <c r="AB19" s="1638">
        <f t="shared" si="6"/>
        <v>0</v>
      </c>
      <c r="AC19" s="1634">
        <f t="shared" si="7"/>
        <v>0</v>
      </c>
      <c r="AD19" s="1639">
        <v>0</v>
      </c>
      <c r="AE19" s="1634" t="s">
        <v>1090</v>
      </c>
      <c r="AF19" s="1634">
        <f t="shared" si="8"/>
        <v>0</v>
      </c>
      <c r="AG19" s="1634">
        <f t="shared" si="9"/>
        <v>0</v>
      </c>
      <c r="AH19" s="1640">
        <v>0</v>
      </c>
      <c r="AI19" s="1640"/>
      <c r="AJ19" s="1640"/>
      <c r="AK19" s="1640" t="s">
        <v>1892</v>
      </c>
      <c r="AL19" s="1640"/>
      <c r="AM19" s="1742">
        <f t="shared" si="10"/>
        <v>0</v>
      </c>
      <c r="AN19" s="1729">
        <f t="shared" si="2"/>
        <v>0</v>
      </c>
      <c r="AO19" s="1730">
        <v>0</v>
      </c>
      <c r="AP19" s="1731">
        <v>0</v>
      </c>
      <c r="AQ19" s="1729">
        <f t="shared" si="11"/>
        <v>0</v>
      </c>
      <c r="AR19" s="1729">
        <v>0</v>
      </c>
      <c r="AS19" s="1750">
        <v>0</v>
      </c>
      <c r="AT19" s="1730"/>
      <c r="AU19" s="1730" t="s">
        <v>2213</v>
      </c>
      <c r="AV19" s="1730"/>
      <c r="AW19" s="2248">
        <f t="shared" si="12"/>
        <v>0</v>
      </c>
      <c r="AX19" s="2218">
        <f t="shared" si="4"/>
        <v>0</v>
      </c>
      <c r="AY19" s="2197">
        <v>0</v>
      </c>
      <c r="AZ19" s="2251" t="s">
        <v>1090</v>
      </c>
      <c r="BA19" s="893"/>
      <c r="BB19" s="2251">
        <v>0</v>
      </c>
      <c r="BC19" s="2308">
        <v>0</v>
      </c>
      <c r="BD19" s="2268" t="s">
        <v>1090</v>
      </c>
      <c r="BE19" s="2199" t="s">
        <v>2811</v>
      </c>
      <c r="BF19" s="893"/>
      <c r="BG19" s="2390">
        <f t="shared" si="13"/>
        <v>0</v>
      </c>
      <c r="BH19" s="2391">
        <f t="shared" si="5"/>
        <v>0</v>
      </c>
      <c r="BI19" s="2397" t="s">
        <v>1090</v>
      </c>
      <c r="BJ19" s="2352" t="s">
        <v>1090</v>
      </c>
      <c r="BK19" s="2398"/>
      <c r="BL19" s="2352">
        <v>0.1</v>
      </c>
      <c r="BM19" s="2394"/>
      <c r="BN19" s="2351"/>
      <c r="BO19" s="2354" t="s">
        <v>2811</v>
      </c>
      <c r="BP19" s="2398"/>
    </row>
    <row r="20" spans="1:68" s="842" customFormat="1" ht="39" thickBot="1">
      <c r="A20" s="2735"/>
      <c r="B20" s="2735"/>
      <c r="C20" s="2736"/>
      <c r="D20" s="1065" t="s">
        <v>1360</v>
      </c>
      <c r="E20" s="885" t="s">
        <v>1357</v>
      </c>
      <c r="F20" s="824">
        <v>1</v>
      </c>
      <c r="G20" s="1005" t="s">
        <v>1358</v>
      </c>
      <c r="H20" s="1005" t="s">
        <v>1643</v>
      </c>
      <c r="I20" s="1071">
        <f t="shared" si="0"/>
        <v>0.09090909090909091</v>
      </c>
      <c r="J20" s="857" t="s">
        <v>1361</v>
      </c>
      <c r="K20" s="877">
        <v>42095</v>
      </c>
      <c r="L20" s="877">
        <v>42353</v>
      </c>
      <c r="M20" s="876"/>
      <c r="N20" s="876"/>
      <c r="O20" s="876"/>
      <c r="P20" s="876"/>
      <c r="Q20" s="876"/>
      <c r="R20" s="876"/>
      <c r="S20" s="876"/>
      <c r="T20" s="876"/>
      <c r="U20" s="876"/>
      <c r="V20" s="876"/>
      <c r="W20" s="876"/>
      <c r="X20" s="876">
        <v>1</v>
      </c>
      <c r="Y20" s="962">
        <f t="shared" si="1"/>
        <v>1</v>
      </c>
      <c r="Z20" s="917">
        <v>0</v>
      </c>
      <c r="AA20" s="850" t="s">
        <v>1090</v>
      </c>
      <c r="AB20" s="1638">
        <f t="shared" si="6"/>
        <v>0</v>
      </c>
      <c r="AC20" s="1634">
        <f t="shared" si="7"/>
        <v>0</v>
      </c>
      <c r="AD20" s="1639">
        <v>0</v>
      </c>
      <c r="AE20" s="1634" t="s">
        <v>1090</v>
      </c>
      <c r="AF20" s="1634">
        <f t="shared" si="8"/>
        <v>0</v>
      </c>
      <c r="AG20" s="1634">
        <f t="shared" si="9"/>
        <v>0</v>
      </c>
      <c r="AH20" s="1640"/>
      <c r="AI20" s="1640"/>
      <c r="AJ20" s="1640"/>
      <c r="AK20" s="1640"/>
      <c r="AL20" s="1640"/>
      <c r="AM20" s="1742">
        <f t="shared" si="10"/>
        <v>0</v>
      </c>
      <c r="AN20" s="1729">
        <f t="shared" si="2"/>
        <v>0</v>
      </c>
      <c r="AO20" s="1730">
        <v>0</v>
      </c>
      <c r="AP20" s="1731">
        <v>0</v>
      </c>
      <c r="AQ20" s="1729">
        <f t="shared" si="11"/>
        <v>0</v>
      </c>
      <c r="AR20" s="1729">
        <v>0</v>
      </c>
      <c r="AS20" s="1750">
        <v>0</v>
      </c>
      <c r="AT20" s="1730"/>
      <c r="AU20" s="1730"/>
      <c r="AV20" s="1730"/>
      <c r="AW20" s="2248">
        <f t="shared" si="12"/>
        <v>0</v>
      </c>
      <c r="AX20" s="2218">
        <f t="shared" si="4"/>
        <v>0</v>
      </c>
      <c r="AY20" s="2197">
        <v>0</v>
      </c>
      <c r="AZ20" s="2251" t="s">
        <v>1090</v>
      </c>
      <c r="BA20" s="893"/>
      <c r="BB20" s="2251">
        <v>0</v>
      </c>
      <c r="BC20" s="2308">
        <v>0</v>
      </c>
      <c r="BD20" s="2268" t="s">
        <v>1090</v>
      </c>
      <c r="BE20" s="2199" t="s">
        <v>2812</v>
      </c>
      <c r="BF20" s="893"/>
      <c r="BG20" s="2390">
        <f t="shared" si="13"/>
        <v>0</v>
      </c>
      <c r="BH20" s="2391">
        <f t="shared" si="5"/>
        <v>0</v>
      </c>
      <c r="BI20" s="2397" t="s">
        <v>1090</v>
      </c>
      <c r="BJ20" s="2352" t="s">
        <v>1090</v>
      </c>
      <c r="BK20" s="2398"/>
      <c r="BL20" s="2352">
        <v>0</v>
      </c>
      <c r="BM20" s="2394"/>
      <c r="BN20" s="2351"/>
      <c r="BO20" s="2354" t="s">
        <v>2812</v>
      </c>
      <c r="BP20" s="2398"/>
    </row>
    <row r="21" spans="1:68" s="842" customFormat="1" ht="111.75" customHeight="1" thickBot="1">
      <c r="A21" s="2735"/>
      <c r="B21" s="2735"/>
      <c r="C21" s="2559" t="s">
        <v>1143</v>
      </c>
      <c r="D21" s="1076" t="s">
        <v>1362</v>
      </c>
      <c r="E21" s="814" t="s">
        <v>72</v>
      </c>
      <c r="F21" s="1069">
        <v>1</v>
      </c>
      <c r="G21" s="814" t="s">
        <v>1363</v>
      </c>
      <c r="H21" s="1068" t="s">
        <v>1364</v>
      </c>
      <c r="I21" s="1078">
        <f t="shared" si="0"/>
        <v>0.09090909090909091</v>
      </c>
      <c r="J21" s="1067" t="s">
        <v>1365</v>
      </c>
      <c r="K21" s="1077">
        <v>42036</v>
      </c>
      <c r="L21" s="1077">
        <v>42277</v>
      </c>
      <c r="M21" s="876"/>
      <c r="N21" s="876"/>
      <c r="O21" s="876"/>
      <c r="P21" s="876"/>
      <c r="Q21" s="876"/>
      <c r="R21" s="876"/>
      <c r="S21" s="876"/>
      <c r="T21" s="876"/>
      <c r="U21" s="876">
        <v>1</v>
      </c>
      <c r="V21" s="876"/>
      <c r="W21" s="876"/>
      <c r="X21" s="876"/>
      <c r="Y21" s="962">
        <f t="shared" si="1"/>
        <v>1</v>
      </c>
      <c r="Z21" s="917">
        <v>0</v>
      </c>
      <c r="AA21" s="850" t="s">
        <v>1090</v>
      </c>
      <c r="AB21" s="1638">
        <f t="shared" si="6"/>
        <v>0</v>
      </c>
      <c r="AC21" s="1634">
        <f t="shared" si="7"/>
        <v>0</v>
      </c>
      <c r="AD21" s="1639">
        <v>0</v>
      </c>
      <c r="AE21" s="1634" t="s">
        <v>1090</v>
      </c>
      <c r="AF21" s="1634">
        <f t="shared" si="8"/>
        <v>0</v>
      </c>
      <c r="AG21" s="1634">
        <f t="shared" si="9"/>
        <v>0</v>
      </c>
      <c r="AH21" s="1640">
        <v>0.05</v>
      </c>
      <c r="AI21" s="1640"/>
      <c r="AJ21" s="1640"/>
      <c r="AK21" s="1640" t="s">
        <v>1893</v>
      </c>
      <c r="AL21" s="1640"/>
      <c r="AM21" s="1742">
        <f t="shared" si="10"/>
        <v>0</v>
      </c>
      <c r="AN21" s="1729">
        <f t="shared" si="2"/>
        <v>0</v>
      </c>
      <c r="AO21" s="1730">
        <v>0</v>
      </c>
      <c r="AP21" s="1731">
        <v>0.2</v>
      </c>
      <c r="AQ21" s="1729">
        <f t="shared" si="11"/>
        <v>0</v>
      </c>
      <c r="AR21" s="1729">
        <v>0</v>
      </c>
      <c r="AS21" s="1750">
        <v>0</v>
      </c>
      <c r="AT21" s="1730"/>
      <c r="AU21" s="1730" t="s">
        <v>2214</v>
      </c>
      <c r="AV21" s="1730"/>
      <c r="AW21" s="2248">
        <f t="shared" si="12"/>
        <v>0</v>
      </c>
      <c r="AX21" s="2218">
        <f t="shared" si="4"/>
        <v>0</v>
      </c>
      <c r="AY21" s="2197">
        <v>0</v>
      </c>
      <c r="AZ21" s="2251" t="s">
        <v>1090</v>
      </c>
      <c r="BA21" s="893"/>
      <c r="BB21" s="2251">
        <v>0</v>
      </c>
      <c r="BC21" s="2308">
        <v>0</v>
      </c>
      <c r="BD21" s="2268" t="s">
        <v>1090</v>
      </c>
      <c r="BE21" s="2199" t="s">
        <v>2813</v>
      </c>
      <c r="BF21" s="893"/>
      <c r="BG21" s="2390">
        <f t="shared" si="13"/>
        <v>0</v>
      </c>
      <c r="BH21" s="2391">
        <f t="shared" si="5"/>
        <v>0</v>
      </c>
      <c r="BI21" s="2397" t="s">
        <v>1090</v>
      </c>
      <c r="BJ21" s="2352" t="s">
        <v>1090</v>
      </c>
      <c r="BK21" s="2398"/>
      <c r="BL21" s="2352">
        <v>0.4</v>
      </c>
      <c r="BM21" s="2394"/>
      <c r="BN21" s="2351"/>
      <c r="BO21" s="2354" t="s">
        <v>2813</v>
      </c>
      <c r="BP21" s="2398"/>
    </row>
    <row r="22" spans="1:68" s="842" customFormat="1" ht="84" customHeight="1" thickBot="1">
      <c r="A22" s="2735"/>
      <c r="B22" s="2735"/>
      <c r="C22" s="2559"/>
      <c r="D22" s="1076" t="s">
        <v>1366</v>
      </c>
      <c r="E22" s="1073" t="s">
        <v>1235</v>
      </c>
      <c r="F22" s="1074">
        <v>1</v>
      </c>
      <c r="G22" s="1073" t="s">
        <v>1367</v>
      </c>
      <c r="H22" s="997" t="s">
        <v>1364</v>
      </c>
      <c r="I22" s="1071">
        <f t="shared" si="0"/>
        <v>0.09090909090909091</v>
      </c>
      <c r="J22" s="1072" t="s">
        <v>1368</v>
      </c>
      <c r="K22" s="951">
        <v>42278</v>
      </c>
      <c r="L22" s="951">
        <v>42369</v>
      </c>
      <c r="M22" s="876"/>
      <c r="N22" s="876"/>
      <c r="O22" s="876"/>
      <c r="P22" s="876"/>
      <c r="Q22" s="876"/>
      <c r="R22" s="876"/>
      <c r="S22" s="876"/>
      <c r="T22" s="876"/>
      <c r="U22" s="876"/>
      <c r="V22" s="876"/>
      <c r="W22" s="876"/>
      <c r="X22" s="876">
        <v>1</v>
      </c>
      <c r="Y22" s="962">
        <f t="shared" si="1"/>
        <v>1</v>
      </c>
      <c r="Z22" s="917">
        <v>0</v>
      </c>
      <c r="AA22" s="850" t="s">
        <v>1090</v>
      </c>
      <c r="AB22" s="1638">
        <f t="shared" si="6"/>
        <v>0</v>
      </c>
      <c r="AC22" s="1634">
        <f t="shared" si="7"/>
        <v>0</v>
      </c>
      <c r="AD22" s="1639">
        <v>0</v>
      </c>
      <c r="AE22" s="1634" t="s">
        <v>1090</v>
      </c>
      <c r="AF22" s="1634">
        <f t="shared" si="8"/>
        <v>0</v>
      </c>
      <c r="AG22" s="1634">
        <f t="shared" si="9"/>
        <v>0</v>
      </c>
      <c r="AH22" s="1640">
        <v>0</v>
      </c>
      <c r="AI22" s="1640"/>
      <c r="AJ22" s="1640"/>
      <c r="AK22" s="1640" t="s">
        <v>1894</v>
      </c>
      <c r="AL22" s="1640"/>
      <c r="AM22" s="1742">
        <f t="shared" si="10"/>
        <v>0</v>
      </c>
      <c r="AN22" s="1729">
        <f t="shared" si="2"/>
        <v>0</v>
      </c>
      <c r="AO22" s="1730">
        <v>0</v>
      </c>
      <c r="AP22" s="1731">
        <v>0</v>
      </c>
      <c r="AQ22" s="1729">
        <f t="shared" si="11"/>
        <v>0</v>
      </c>
      <c r="AR22" s="1729">
        <v>0</v>
      </c>
      <c r="AS22" s="1750">
        <v>0</v>
      </c>
      <c r="AT22" s="1730"/>
      <c r="AU22" s="1730" t="s">
        <v>1894</v>
      </c>
      <c r="AV22" s="1730"/>
      <c r="AW22" s="2248">
        <f t="shared" si="12"/>
        <v>0</v>
      </c>
      <c r="AX22" s="2218">
        <f t="shared" si="4"/>
        <v>0</v>
      </c>
      <c r="AY22" s="2197">
        <v>0</v>
      </c>
      <c r="AZ22" s="2251" t="s">
        <v>1090</v>
      </c>
      <c r="BA22" s="893"/>
      <c r="BB22" s="2251">
        <v>0</v>
      </c>
      <c r="BC22" s="2308">
        <v>0</v>
      </c>
      <c r="BD22" s="2268" t="s">
        <v>1090</v>
      </c>
      <c r="BE22" s="2199" t="s">
        <v>1894</v>
      </c>
      <c r="BF22" s="893"/>
      <c r="BG22" s="2390">
        <f t="shared" si="13"/>
        <v>0</v>
      </c>
      <c r="BH22" s="2391">
        <f t="shared" si="5"/>
        <v>0</v>
      </c>
      <c r="BI22" s="2397" t="s">
        <v>1090</v>
      </c>
      <c r="BJ22" s="2352" t="s">
        <v>1090</v>
      </c>
      <c r="BK22" s="2398"/>
      <c r="BL22" s="2352">
        <v>0</v>
      </c>
      <c r="BM22" s="2394"/>
      <c r="BN22" s="2351"/>
      <c r="BO22" s="2354" t="s">
        <v>1894</v>
      </c>
      <c r="BP22" s="2398"/>
    </row>
    <row r="23" spans="1:68" s="842" customFormat="1" ht="109.5" customHeight="1" thickBot="1">
      <c r="A23" s="2735"/>
      <c r="B23" s="2735"/>
      <c r="C23" s="2737" t="s">
        <v>1188</v>
      </c>
      <c r="D23" s="1076" t="s">
        <v>1642</v>
      </c>
      <c r="E23" s="1073" t="s">
        <v>1189</v>
      </c>
      <c r="F23" s="1074">
        <v>4</v>
      </c>
      <c r="G23" s="1073" t="s">
        <v>1190</v>
      </c>
      <c r="H23" s="997" t="s">
        <v>1364</v>
      </c>
      <c r="I23" s="1071">
        <f t="shared" si="0"/>
        <v>0.09090909090909091</v>
      </c>
      <c r="J23" s="1072" t="s">
        <v>1641</v>
      </c>
      <c r="K23" s="951">
        <v>42005</v>
      </c>
      <c r="L23" s="951">
        <v>42369</v>
      </c>
      <c r="M23" s="876"/>
      <c r="N23" s="876"/>
      <c r="O23" s="876">
        <v>1</v>
      </c>
      <c r="P23" s="876"/>
      <c r="Q23" s="876"/>
      <c r="R23" s="876">
        <v>1</v>
      </c>
      <c r="S23" s="876"/>
      <c r="T23" s="876"/>
      <c r="U23" s="876">
        <v>1</v>
      </c>
      <c r="V23" s="876"/>
      <c r="W23" s="876"/>
      <c r="X23" s="876">
        <v>1</v>
      </c>
      <c r="Y23" s="962">
        <f t="shared" si="1"/>
        <v>4</v>
      </c>
      <c r="Z23" s="917">
        <v>0</v>
      </c>
      <c r="AA23" s="850" t="s">
        <v>1090</v>
      </c>
      <c r="AB23" s="1638">
        <f t="shared" si="6"/>
        <v>0</v>
      </c>
      <c r="AC23" s="1634">
        <f t="shared" si="7"/>
        <v>0</v>
      </c>
      <c r="AD23" s="1639">
        <v>0</v>
      </c>
      <c r="AE23" s="1634" t="s">
        <v>1090</v>
      </c>
      <c r="AF23" s="1634">
        <f t="shared" si="8"/>
        <v>0</v>
      </c>
      <c r="AG23" s="1634">
        <f t="shared" si="9"/>
        <v>0</v>
      </c>
      <c r="AH23" s="1640">
        <v>0.5</v>
      </c>
      <c r="AI23" s="1640"/>
      <c r="AJ23" s="1640"/>
      <c r="AK23" s="1640" t="s">
        <v>1895</v>
      </c>
      <c r="AL23" s="1640"/>
      <c r="AM23" s="1742">
        <f t="shared" si="10"/>
        <v>1</v>
      </c>
      <c r="AN23" s="1729">
        <f t="shared" si="2"/>
        <v>1</v>
      </c>
      <c r="AO23" s="1730">
        <v>1</v>
      </c>
      <c r="AP23" s="1731">
        <v>0.75</v>
      </c>
      <c r="AQ23" s="1729">
        <f t="shared" si="11"/>
        <v>0.25</v>
      </c>
      <c r="AR23" s="1729">
        <f t="shared" si="3"/>
        <v>0.75</v>
      </c>
      <c r="AS23" s="1750"/>
      <c r="AT23" s="1730"/>
      <c r="AU23" s="1730" t="s">
        <v>2215</v>
      </c>
      <c r="AV23" s="1730"/>
      <c r="AW23" s="2248">
        <f t="shared" si="12"/>
        <v>2</v>
      </c>
      <c r="AX23" s="2218">
        <f t="shared" si="4"/>
        <v>1</v>
      </c>
      <c r="AY23" s="2197">
        <v>3</v>
      </c>
      <c r="AZ23" s="2251">
        <v>1</v>
      </c>
      <c r="BA23" s="893"/>
      <c r="BB23" s="2251">
        <f>AY23/Y23</f>
        <v>0.75</v>
      </c>
      <c r="BC23" s="2308">
        <v>0</v>
      </c>
      <c r="BD23" s="2268" t="s">
        <v>1090</v>
      </c>
      <c r="BE23" s="2199" t="s">
        <v>2215</v>
      </c>
      <c r="BF23" s="893"/>
      <c r="BG23" s="2390">
        <f t="shared" si="13"/>
        <v>2</v>
      </c>
      <c r="BH23" s="2391">
        <f t="shared" si="5"/>
        <v>1</v>
      </c>
      <c r="BI23" s="2397">
        <v>3</v>
      </c>
      <c r="BJ23" s="2352">
        <v>1</v>
      </c>
      <c r="BK23" s="2398"/>
      <c r="BL23" s="2352">
        <f>BI23/Y23</f>
        <v>0.75</v>
      </c>
      <c r="BM23" s="2394"/>
      <c r="BN23" s="2351"/>
      <c r="BO23" s="2354" t="s">
        <v>2215</v>
      </c>
      <c r="BP23" s="2398"/>
    </row>
    <row r="24" spans="1:68" s="842" customFormat="1" ht="106.5" customHeight="1" thickBot="1">
      <c r="A24" s="2735"/>
      <c r="B24" s="2735"/>
      <c r="C24" s="2737"/>
      <c r="D24" s="1076" t="s">
        <v>1640</v>
      </c>
      <c r="E24" s="1073" t="s">
        <v>1189</v>
      </c>
      <c r="F24" s="1074">
        <v>12</v>
      </c>
      <c r="G24" s="1073" t="s">
        <v>1190</v>
      </c>
      <c r="H24" s="997" t="s">
        <v>1566</v>
      </c>
      <c r="I24" s="1071">
        <f t="shared" si="0"/>
        <v>0.09090909090909091</v>
      </c>
      <c r="J24" s="1072" t="s">
        <v>1639</v>
      </c>
      <c r="K24" s="951">
        <v>42005</v>
      </c>
      <c r="L24" s="951">
        <v>42369</v>
      </c>
      <c r="M24" s="876">
        <v>1</v>
      </c>
      <c r="N24" s="876">
        <v>1</v>
      </c>
      <c r="O24" s="876">
        <v>1</v>
      </c>
      <c r="P24" s="876">
        <v>1</v>
      </c>
      <c r="Q24" s="876">
        <v>1</v>
      </c>
      <c r="R24" s="876">
        <v>1</v>
      </c>
      <c r="S24" s="876">
        <v>1</v>
      </c>
      <c r="T24" s="876">
        <v>1</v>
      </c>
      <c r="U24" s="876">
        <v>1</v>
      </c>
      <c r="V24" s="876">
        <v>1</v>
      </c>
      <c r="W24" s="876">
        <v>1</v>
      </c>
      <c r="X24" s="876">
        <v>1</v>
      </c>
      <c r="Y24" s="962">
        <f t="shared" si="1"/>
        <v>12</v>
      </c>
      <c r="Z24" s="917">
        <v>0</v>
      </c>
      <c r="AA24" s="850" t="s">
        <v>1090</v>
      </c>
      <c r="AB24" s="1638">
        <f t="shared" si="6"/>
        <v>2</v>
      </c>
      <c r="AC24" s="1634">
        <f t="shared" si="7"/>
        <v>1</v>
      </c>
      <c r="AD24" s="1641">
        <v>4</v>
      </c>
      <c r="AE24" s="1634">
        <f aca="true" t="shared" si="14" ref="AE24:AE26">AD24/AB24</f>
        <v>2</v>
      </c>
      <c r="AF24" s="1634">
        <f t="shared" si="8"/>
        <v>0.3333333333333333</v>
      </c>
      <c r="AG24" s="1634">
        <f t="shared" si="9"/>
        <v>0.3333333333333333</v>
      </c>
      <c r="AH24" s="1640">
        <v>0.33</v>
      </c>
      <c r="AI24" s="1640"/>
      <c r="AJ24" s="1640"/>
      <c r="AK24" s="1640" t="s">
        <v>1896</v>
      </c>
      <c r="AL24" s="1640"/>
      <c r="AM24" s="1742">
        <f t="shared" si="10"/>
        <v>4</v>
      </c>
      <c r="AN24" s="1729">
        <f t="shared" si="2"/>
        <v>1</v>
      </c>
      <c r="AO24" s="1730">
        <v>4</v>
      </c>
      <c r="AP24" s="1731">
        <v>0.95</v>
      </c>
      <c r="AQ24" s="1729">
        <f t="shared" si="11"/>
        <v>0.3333333333333333</v>
      </c>
      <c r="AR24" s="1729">
        <f t="shared" si="3"/>
        <v>0.95</v>
      </c>
      <c r="AS24" s="1750">
        <v>0</v>
      </c>
      <c r="AT24" s="1730"/>
      <c r="AU24" s="1730" t="s">
        <v>2216</v>
      </c>
      <c r="AV24" s="1730"/>
      <c r="AW24" s="2248">
        <f t="shared" si="12"/>
        <v>6</v>
      </c>
      <c r="AX24" s="2218">
        <f t="shared" si="4"/>
        <v>1</v>
      </c>
      <c r="AY24" s="2197">
        <v>6</v>
      </c>
      <c r="AZ24" s="2251">
        <v>1</v>
      </c>
      <c r="BA24" s="893"/>
      <c r="BB24" s="2251">
        <v>0.5</v>
      </c>
      <c r="BC24" s="2308">
        <v>0</v>
      </c>
      <c r="BD24" s="2268" t="s">
        <v>1090</v>
      </c>
      <c r="BE24" s="2199" t="s">
        <v>2814</v>
      </c>
      <c r="BF24" s="893"/>
      <c r="BG24" s="2390">
        <f t="shared" si="13"/>
        <v>8</v>
      </c>
      <c r="BH24" s="2391">
        <f t="shared" si="5"/>
        <v>1</v>
      </c>
      <c r="BI24" s="2397">
        <v>12</v>
      </c>
      <c r="BJ24" s="2352">
        <v>1</v>
      </c>
      <c r="BK24" s="2398"/>
      <c r="BL24" s="2352">
        <v>1</v>
      </c>
      <c r="BM24" s="2394"/>
      <c r="BN24" s="2351"/>
      <c r="BO24" s="2354" t="s">
        <v>2814</v>
      </c>
      <c r="BP24" s="2398"/>
    </row>
    <row r="25" spans="1:68" s="842" customFormat="1" ht="106.5" customHeight="1" thickBot="1">
      <c r="A25" s="2735"/>
      <c r="B25" s="2735"/>
      <c r="C25" s="2737"/>
      <c r="D25" s="1075" t="s">
        <v>1638</v>
      </c>
      <c r="E25" s="1073" t="s">
        <v>1637</v>
      </c>
      <c r="F25" s="1074">
        <v>1</v>
      </c>
      <c r="G25" s="1073" t="s">
        <v>1636</v>
      </c>
      <c r="H25" s="997" t="s">
        <v>1566</v>
      </c>
      <c r="I25" s="1071">
        <v>0.09</v>
      </c>
      <c r="J25" s="1072" t="s">
        <v>1635</v>
      </c>
      <c r="K25" s="951">
        <v>42005</v>
      </c>
      <c r="L25" s="951">
        <v>42093</v>
      </c>
      <c r="M25" s="876"/>
      <c r="N25" s="876"/>
      <c r="O25" s="876">
        <v>1</v>
      </c>
      <c r="P25" s="876"/>
      <c r="Q25" s="876"/>
      <c r="R25" s="876"/>
      <c r="S25" s="876"/>
      <c r="T25" s="876"/>
      <c r="U25" s="876"/>
      <c r="V25" s="876"/>
      <c r="W25" s="876"/>
      <c r="X25" s="876"/>
      <c r="Y25" s="962">
        <f>SUM(N25:X25)</f>
        <v>1</v>
      </c>
      <c r="Z25" s="917">
        <v>0</v>
      </c>
      <c r="AA25" s="850"/>
      <c r="AB25" s="1638">
        <f t="shared" si="6"/>
        <v>0</v>
      </c>
      <c r="AC25" s="1634">
        <f t="shared" si="7"/>
        <v>0</v>
      </c>
      <c r="AD25" s="1639">
        <v>0</v>
      </c>
      <c r="AE25" s="1634" t="s">
        <v>1090</v>
      </c>
      <c r="AF25" s="1634">
        <f t="shared" si="8"/>
        <v>0</v>
      </c>
      <c r="AG25" s="1634">
        <f t="shared" si="9"/>
        <v>0</v>
      </c>
      <c r="AH25" s="1640">
        <v>0.5</v>
      </c>
      <c r="AI25" s="1640"/>
      <c r="AJ25" s="1640"/>
      <c r="AK25" s="1640" t="s">
        <v>1897</v>
      </c>
      <c r="AL25" s="1640"/>
      <c r="AM25" s="1742">
        <f t="shared" si="10"/>
        <v>1</v>
      </c>
      <c r="AN25" s="1729">
        <f t="shared" si="2"/>
        <v>1</v>
      </c>
      <c r="AO25" s="1730">
        <v>1</v>
      </c>
      <c r="AP25" s="1731">
        <v>1</v>
      </c>
      <c r="AQ25" s="1729">
        <f t="shared" si="11"/>
        <v>1</v>
      </c>
      <c r="AR25" s="1729">
        <f t="shared" si="3"/>
        <v>1</v>
      </c>
      <c r="AS25" s="1750">
        <v>0</v>
      </c>
      <c r="AT25" s="1730"/>
      <c r="AU25" s="1730" t="s">
        <v>2217</v>
      </c>
      <c r="AV25" s="1730"/>
      <c r="AW25" s="2248">
        <f t="shared" si="12"/>
        <v>1</v>
      </c>
      <c r="AX25" s="2218">
        <f t="shared" si="4"/>
        <v>1</v>
      </c>
      <c r="AY25" s="2197">
        <v>1</v>
      </c>
      <c r="AZ25" s="2251">
        <v>1</v>
      </c>
      <c r="BA25" s="893"/>
      <c r="BB25" s="2251">
        <v>1</v>
      </c>
      <c r="BC25" s="2308">
        <v>0</v>
      </c>
      <c r="BD25" s="2268" t="s">
        <v>1090</v>
      </c>
      <c r="BE25" s="2199" t="s">
        <v>2217</v>
      </c>
      <c r="BF25" s="893"/>
      <c r="BG25" s="2390">
        <f t="shared" si="13"/>
        <v>1</v>
      </c>
      <c r="BH25" s="2391">
        <f t="shared" si="5"/>
        <v>1</v>
      </c>
      <c r="BI25" s="2397">
        <v>1</v>
      </c>
      <c r="BJ25" s="2352">
        <v>1</v>
      </c>
      <c r="BK25" s="2398"/>
      <c r="BL25" s="2352">
        <v>1</v>
      </c>
      <c r="BM25" s="2394"/>
      <c r="BN25" s="2351"/>
      <c r="BO25" s="2354" t="s">
        <v>2217</v>
      </c>
      <c r="BP25" s="2398"/>
    </row>
    <row r="26" spans="1:68" s="842" customFormat="1" ht="51.75" thickBot="1">
      <c r="A26" s="2735"/>
      <c r="B26" s="2735"/>
      <c r="C26" s="2737"/>
      <c r="D26" s="1000" t="s">
        <v>1634</v>
      </c>
      <c r="E26" s="1062" t="s">
        <v>999</v>
      </c>
      <c r="F26" s="1063">
        <v>3</v>
      </c>
      <c r="G26" s="1062" t="s">
        <v>1633</v>
      </c>
      <c r="H26" s="997" t="s">
        <v>1566</v>
      </c>
      <c r="I26" s="1071">
        <f>1/11</f>
        <v>0.09090909090909091</v>
      </c>
      <c r="J26" s="1060" t="s">
        <v>1632</v>
      </c>
      <c r="K26" s="910">
        <v>42005</v>
      </c>
      <c r="L26" s="910">
        <v>42369</v>
      </c>
      <c r="M26" s="876">
        <v>1</v>
      </c>
      <c r="N26" s="876">
        <v>1</v>
      </c>
      <c r="O26" s="876">
        <v>1</v>
      </c>
      <c r="P26" s="876">
        <v>1</v>
      </c>
      <c r="Q26" s="876">
        <v>1</v>
      </c>
      <c r="R26" s="876">
        <v>1</v>
      </c>
      <c r="S26" s="876">
        <v>1</v>
      </c>
      <c r="T26" s="876">
        <v>1</v>
      </c>
      <c r="U26" s="876">
        <v>1</v>
      </c>
      <c r="V26" s="876">
        <v>1</v>
      </c>
      <c r="W26" s="876">
        <v>1</v>
      </c>
      <c r="X26" s="876">
        <v>1</v>
      </c>
      <c r="Y26" s="962">
        <f>SUM(M26:X26)</f>
        <v>12</v>
      </c>
      <c r="Z26" s="917">
        <v>0</v>
      </c>
      <c r="AA26" s="850" t="s">
        <v>1090</v>
      </c>
      <c r="AB26" s="1638">
        <f t="shared" si="6"/>
        <v>2</v>
      </c>
      <c r="AC26" s="1634">
        <f t="shared" si="7"/>
        <v>1</v>
      </c>
      <c r="AD26" s="1639">
        <v>0</v>
      </c>
      <c r="AE26" s="1634">
        <f t="shared" si="14"/>
        <v>0</v>
      </c>
      <c r="AF26" s="1634">
        <f t="shared" si="8"/>
        <v>0</v>
      </c>
      <c r="AG26" s="1634">
        <f t="shared" si="9"/>
        <v>0</v>
      </c>
      <c r="AH26" s="1640">
        <v>1</v>
      </c>
      <c r="AI26" s="1640"/>
      <c r="AJ26" s="1640"/>
      <c r="AK26" s="1640" t="s">
        <v>1898</v>
      </c>
      <c r="AL26" s="1640"/>
      <c r="AM26" s="1742">
        <f t="shared" si="10"/>
        <v>4</v>
      </c>
      <c r="AN26" s="1729">
        <f t="shared" si="2"/>
        <v>1</v>
      </c>
      <c r="AO26" s="1730">
        <v>3</v>
      </c>
      <c r="AP26" s="1731"/>
      <c r="AQ26" s="1729">
        <f t="shared" si="11"/>
        <v>0.25</v>
      </c>
      <c r="AR26" s="1729">
        <f t="shared" si="3"/>
        <v>0</v>
      </c>
      <c r="AS26" s="1750">
        <v>0</v>
      </c>
      <c r="AT26" s="1730"/>
      <c r="AU26" s="1730" t="s">
        <v>1898</v>
      </c>
      <c r="AV26" s="1730"/>
      <c r="AW26" s="2248">
        <f t="shared" si="12"/>
        <v>6</v>
      </c>
      <c r="AX26" s="2218">
        <f t="shared" si="4"/>
        <v>1</v>
      </c>
      <c r="AY26" s="2197">
        <v>6</v>
      </c>
      <c r="AZ26" s="2251">
        <v>1</v>
      </c>
      <c r="BA26" s="893"/>
      <c r="BB26" s="2251">
        <v>0.5</v>
      </c>
      <c r="BC26" s="2308">
        <v>0</v>
      </c>
      <c r="BD26" s="2268" t="s">
        <v>1090</v>
      </c>
      <c r="BE26" s="2199" t="s">
        <v>2815</v>
      </c>
      <c r="BF26" s="893"/>
      <c r="BG26" s="2390">
        <f t="shared" si="13"/>
        <v>8</v>
      </c>
      <c r="BH26" s="2391">
        <f t="shared" si="5"/>
        <v>1</v>
      </c>
      <c r="BI26" s="2397">
        <v>8</v>
      </c>
      <c r="BJ26" s="2352">
        <v>1</v>
      </c>
      <c r="BK26" s="2398"/>
      <c r="BL26" s="2352">
        <f>BI26/Y26</f>
        <v>0.6666666666666666</v>
      </c>
      <c r="BM26" s="2394"/>
      <c r="BN26" s="2351"/>
      <c r="BO26" s="2354" t="s">
        <v>2815</v>
      </c>
      <c r="BP26" s="2398"/>
    </row>
    <row r="27" spans="1:68" s="842" customFormat="1" ht="20.1" customHeight="1" thickBot="1">
      <c r="A27" s="2556" t="s">
        <v>130</v>
      </c>
      <c r="B27" s="2556"/>
      <c r="C27" s="2556"/>
      <c r="D27" s="2556"/>
      <c r="E27" s="848"/>
      <c r="F27" s="848"/>
      <c r="G27" s="848"/>
      <c r="H27" s="848"/>
      <c r="I27" s="866">
        <f>SUM(I16:I26)</f>
        <v>0.9990909090909093</v>
      </c>
      <c r="J27" s="848"/>
      <c r="K27" s="848"/>
      <c r="L27" s="848"/>
      <c r="M27" s="848"/>
      <c r="N27" s="848"/>
      <c r="O27" s="848"/>
      <c r="P27" s="848"/>
      <c r="Q27" s="848"/>
      <c r="R27" s="848"/>
      <c r="S27" s="848"/>
      <c r="T27" s="848"/>
      <c r="U27" s="848"/>
      <c r="V27" s="848"/>
      <c r="W27" s="848"/>
      <c r="X27" s="848"/>
      <c r="Y27" s="848"/>
      <c r="Z27" s="1013">
        <f>SUM(Z16:Z26)</f>
        <v>0</v>
      </c>
      <c r="AA27" s="846"/>
      <c r="AB27" s="1531"/>
      <c r="AC27" s="1532">
        <f>AVERAGEIF(AC16:AC26,"&gt;0")</f>
        <v>1</v>
      </c>
      <c r="AD27" s="1533"/>
      <c r="AE27" s="1532">
        <f>AVERAGE(AE16:AE26)</f>
        <v>1</v>
      </c>
      <c r="AF27" s="1532"/>
      <c r="AG27" s="1532">
        <f>AVERAGE(AG16:AG26)</f>
        <v>0.0303030303030303</v>
      </c>
      <c r="AH27" s="1534"/>
      <c r="AI27" s="1534"/>
      <c r="AJ27" s="1534"/>
      <c r="AK27" s="1534"/>
      <c r="AL27" s="1534"/>
      <c r="AM27" s="1732"/>
      <c r="AN27" s="1868">
        <f>AVERAGEIF(AN16:AN26,"&gt;0")</f>
        <v>1</v>
      </c>
      <c r="AO27" s="1732"/>
      <c r="AP27" s="1868">
        <f>AVERAGE(AP16:AP26)</f>
        <v>0.495</v>
      </c>
      <c r="AQ27" s="1872"/>
      <c r="AR27" s="1872">
        <f>AVERAGE(AR16:AR26)</f>
        <v>0.4272727272727273</v>
      </c>
      <c r="AS27" s="1732"/>
      <c r="AT27" s="1732"/>
      <c r="AU27" s="1732"/>
      <c r="AV27" s="1732"/>
      <c r="AW27" s="2249"/>
      <c r="AX27" s="2252">
        <v>1</v>
      </c>
      <c r="AY27" s="844"/>
      <c r="AZ27" s="2254">
        <f>AVERAGE(AZ16:AZ26)</f>
        <v>1</v>
      </c>
      <c r="BA27" s="844"/>
      <c r="BB27" s="2264">
        <f>AVERAGE(BB16:BB26)</f>
        <v>0.4318181818181818</v>
      </c>
      <c r="BC27" s="844"/>
      <c r="BD27" s="844"/>
      <c r="BE27" s="844"/>
      <c r="BF27" s="844"/>
      <c r="BG27" s="2249"/>
      <c r="BH27" s="2252">
        <v>1</v>
      </c>
      <c r="BI27" s="844"/>
      <c r="BJ27" s="2444">
        <f>AVERAGE(BJ16:BJ26)</f>
        <v>1</v>
      </c>
      <c r="BK27" s="2445"/>
      <c r="BL27" s="2446">
        <f>AVERAGE(BL16:BL26)</f>
        <v>0.5606060606060607</v>
      </c>
      <c r="BM27" s="844"/>
      <c r="BN27" s="844"/>
      <c r="BO27" s="844"/>
      <c r="BP27" s="844"/>
    </row>
    <row r="28" spans="1:68" s="842" customFormat="1" ht="95.25" customHeight="1" thickBot="1">
      <c r="A28" s="2738">
        <v>2</v>
      </c>
      <c r="B28" s="2739" t="s">
        <v>1234</v>
      </c>
      <c r="C28" s="2519" t="s">
        <v>1089</v>
      </c>
      <c r="D28" s="1065" t="s">
        <v>1157</v>
      </c>
      <c r="E28" s="1046" t="s">
        <v>1158</v>
      </c>
      <c r="F28" s="1047" t="s">
        <v>100</v>
      </c>
      <c r="G28" s="1046" t="s">
        <v>1159</v>
      </c>
      <c r="H28" s="1005" t="s">
        <v>1370</v>
      </c>
      <c r="I28" s="1015">
        <f aca="true" t="shared" si="15" ref="I28:I44">1/18</f>
        <v>0.05555555555555555</v>
      </c>
      <c r="J28" s="1044" t="s">
        <v>1160</v>
      </c>
      <c r="K28" s="1070">
        <v>42005</v>
      </c>
      <c r="L28" s="1070">
        <v>42369</v>
      </c>
      <c r="M28" s="1042"/>
      <c r="N28" s="1042"/>
      <c r="O28" s="1042"/>
      <c r="P28" s="1042"/>
      <c r="Q28" s="1042"/>
      <c r="R28" s="1042"/>
      <c r="S28" s="1042"/>
      <c r="T28" s="1042"/>
      <c r="U28" s="1042"/>
      <c r="V28" s="1042"/>
      <c r="W28" s="1042"/>
      <c r="X28" s="1042"/>
      <c r="Y28" s="962" t="s">
        <v>100</v>
      </c>
      <c r="Z28" s="1040">
        <v>0</v>
      </c>
      <c r="AA28" s="850" t="s">
        <v>1090</v>
      </c>
      <c r="AB28" s="1638">
        <f>SUM(M28:N28)</f>
        <v>0</v>
      </c>
      <c r="AC28" s="1634">
        <f t="shared" si="7"/>
        <v>0</v>
      </c>
      <c r="AD28" s="1639">
        <v>0</v>
      </c>
      <c r="AE28" s="1634" t="s">
        <v>1090</v>
      </c>
      <c r="AF28" s="1634" t="s">
        <v>1090</v>
      </c>
      <c r="AG28" s="1634" t="str">
        <f>AF28</f>
        <v>-</v>
      </c>
      <c r="AH28" s="1640">
        <v>0</v>
      </c>
      <c r="AI28" s="1640"/>
      <c r="AJ28" s="1640"/>
      <c r="AK28" s="1640" t="s">
        <v>1899</v>
      </c>
      <c r="AL28" s="1640"/>
      <c r="AM28" s="1740">
        <f>SUM(M28:P28)</f>
        <v>0</v>
      </c>
      <c r="AN28" s="1731">
        <f t="shared" si="2"/>
        <v>0</v>
      </c>
      <c r="AO28" s="1730">
        <v>0</v>
      </c>
      <c r="AP28" s="1731">
        <v>0</v>
      </c>
      <c r="AQ28" s="1731" t="s">
        <v>1090</v>
      </c>
      <c r="AR28" s="1731" t="str">
        <f t="shared" si="3"/>
        <v>-</v>
      </c>
      <c r="AS28" s="1750">
        <v>0</v>
      </c>
      <c r="AT28" s="1730"/>
      <c r="AU28" s="1730" t="s">
        <v>2218</v>
      </c>
      <c r="AV28" s="1730"/>
      <c r="AW28" s="2250">
        <f>SUM(M28:R28)</f>
        <v>0</v>
      </c>
      <c r="AX28" s="2251">
        <f t="shared" si="4"/>
        <v>0</v>
      </c>
      <c r="AY28" s="2197" t="s">
        <v>1090</v>
      </c>
      <c r="AZ28" s="2251">
        <v>1</v>
      </c>
      <c r="BA28" s="893"/>
      <c r="BB28" s="2251" t="s">
        <v>1090</v>
      </c>
      <c r="BC28" s="2310">
        <v>0</v>
      </c>
      <c r="BD28" s="2197" t="s">
        <v>1090</v>
      </c>
      <c r="BE28" s="2197" t="s">
        <v>2823</v>
      </c>
      <c r="BF28" s="893"/>
      <c r="BG28" s="2399">
        <f>SUM(M28:T28)</f>
        <v>0</v>
      </c>
      <c r="BH28" s="2352">
        <f t="shared" si="5"/>
        <v>0</v>
      </c>
      <c r="BI28" s="2397" t="s">
        <v>1090</v>
      </c>
      <c r="BJ28" s="2352" t="s">
        <v>1090</v>
      </c>
      <c r="BK28" s="2398"/>
      <c r="BL28" s="2352" t="s">
        <v>1090</v>
      </c>
      <c r="BM28" s="2400"/>
      <c r="BN28" s="2397"/>
      <c r="BO28" s="2397" t="s">
        <v>2971</v>
      </c>
      <c r="BP28" s="2398"/>
    </row>
    <row r="29" spans="1:68" s="842" customFormat="1" ht="248.25" customHeight="1" thickBot="1">
      <c r="A29" s="2738"/>
      <c r="B29" s="2739"/>
      <c r="C29" s="2519"/>
      <c r="D29" s="1048" t="s">
        <v>1510</v>
      </c>
      <c r="E29" s="1046" t="s">
        <v>72</v>
      </c>
      <c r="F29" s="1047">
        <v>1</v>
      </c>
      <c r="G29" s="1046" t="s">
        <v>73</v>
      </c>
      <c r="H29" s="1045" t="s">
        <v>1631</v>
      </c>
      <c r="I29" s="1015">
        <f t="shared" si="15"/>
        <v>0.05555555555555555</v>
      </c>
      <c r="J29" s="1044" t="s">
        <v>1161</v>
      </c>
      <c r="K29" s="1043">
        <v>42036</v>
      </c>
      <c r="L29" s="1043">
        <v>42094</v>
      </c>
      <c r="M29" s="1042"/>
      <c r="N29" s="1042"/>
      <c r="O29" s="1042">
        <v>1</v>
      </c>
      <c r="P29" s="1042"/>
      <c r="Q29" s="1042"/>
      <c r="R29" s="1042"/>
      <c r="S29" s="1042"/>
      <c r="T29" s="1042"/>
      <c r="U29" s="1042"/>
      <c r="V29" s="1042"/>
      <c r="W29" s="1042"/>
      <c r="X29" s="1042"/>
      <c r="Y29" s="1041">
        <v>1</v>
      </c>
      <c r="Z29" s="1040">
        <v>0</v>
      </c>
      <c r="AA29" s="1039"/>
      <c r="AB29" s="1638">
        <f aca="true" t="shared" si="16" ref="AB29:AB44">SUM(M29:N29)</f>
        <v>0</v>
      </c>
      <c r="AC29" s="1634">
        <f t="shared" si="7"/>
        <v>0</v>
      </c>
      <c r="AD29" s="1639">
        <v>0</v>
      </c>
      <c r="AE29" s="1634" t="s">
        <v>1090</v>
      </c>
      <c r="AF29" s="1634">
        <f aca="true" t="shared" si="17" ref="AF29:AF44">AD29/Y29</f>
        <v>0</v>
      </c>
      <c r="AG29" s="1634">
        <f aca="true" t="shared" si="18" ref="AG29:AG44">AF29</f>
        <v>0</v>
      </c>
      <c r="AH29" s="1640">
        <v>0</v>
      </c>
      <c r="AI29" s="1640"/>
      <c r="AJ29" s="1640"/>
      <c r="AK29" s="1640" t="s">
        <v>1899</v>
      </c>
      <c r="AL29" s="1640"/>
      <c r="AM29" s="1740">
        <f aca="true" t="shared" si="19" ref="AM29:AM44">SUM(M29:P29)</f>
        <v>1</v>
      </c>
      <c r="AN29" s="1731">
        <f t="shared" si="2"/>
        <v>1</v>
      </c>
      <c r="AO29" s="1730">
        <v>1</v>
      </c>
      <c r="AP29" s="1731">
        <v>1</v>
      </c>
      <c r="AQ29" s="1731">
        <f aca="true" t="shared" si="20" ref="AQ29:AQ44">AO29/Y29</f>
        <v>1</v>
      </c>
      <c r="AR29" s="1731">
        <f t="shared" si="3"/>
        <v>1</v>
      </c>
      <c r="AS29" s="1750">
        <v>0</v>
      </c>
      <c r="AT29" s="1730"/>
      <c r="AU29" s="1730" t="s">
        <v>2219</v>
      </c>
      <c r="AV29" s="1730"/>
      <c r="AW29" s="2250">
        <f aca="true" t="shared" si="21" ref="AW29:AW44">SUM(M29:R29)</f>
        <v>1</v>
      </c>
      <c r="AX29" s="2251">
        <f t="shared" si="4"/>
        <v>1</v>
      </c>
      <c r="AY29" s="2247">
        <v>1</v>
      </c>
      <c r="AZ29" s="2251">
        <v>1</v>
      </c>
      <c r="BA29" s="893"/>
      <c r="BB29" s="2251">
        <v>1</v>
      </c>
      <c r="BC29" s="2310">
        <v>0</v>
      </c>
      <c r="BD29" s="2197" t="s">
        <v>1090</v>
      </c>
      <c r="BE29" s="2197" t="s">
        <v>2219</v>
      </c>
      <c r="BF29" s="893"/>
      <c r="BG29" s="2352">
        <f aca="true" t="shared" si="22" ref="BG29:BG44">SUM(M29:T29)</f>
        <v>1</v>
      </c>
      <c r="BH29" s="2352">
        <f t="shared" si="5"/>
        <v>1</v>
      </c>
      <c r="BI29" s="2401">
        <v>1</v>
      </c>
      <c r="BJ29" s="2352">
        <v>1</v>
      </c>
      <c r="BK29" s="2398"/>
      <c r="BL29" s="2352">
        <v>1</v>
      </c>
      <c r="BM29" s="2400"/>
      <c r="BN29" s="2397"/>
      <c r="BO29" s="2397" t="s">
        <v>2219</v>
      </c>
      <c r="BP29" s="2398"/>
    </row>
    <row r="30" spans="1:68" s="842" customFormat="1" ht="64.5" thickBot="1">
      <c r="A30" s="2738"/>
      <c r="B30" s="2739"/>
      <c r="C30" s="2519"/>
      <c r="D30" s="1048" t="s">
        <v>1512</v>
      </c>
      <c r="E30" s="1046" t="s">
        <v>1162</v>
      </c>
      <c r="F30" s="1047">
        <v>9</v>
      </c>
      <c r="G30" s="1046" t="s">
        <v>1163</v>
      </c>
      <c r="H30" s="1045" t="s">
        <v>1631</v>
      </c>
      <c r="I30" s="1015">
        <f t="shared" si="15"/>
        <v>0.05555555555555555</v>
      </c>
      <c r="J30" s="1044" t="s">
        <v>1164</v>
      </c>
      <c r="K30" s="1043">
        <v>42095</v>
      </c>
      <c r="L30" s="1043">
        <v>42155</v>
      </c>
      <c r="M30" s="1042"/>
      <c r="N30" s="1042"/>
      <c r="O30" s="1042"/>
      <c r="P30" s="1042"/>
      <c r="Q30" s="1042">
        <v>9</v>
      </c>
      <c r="R30" s="1042"/>
      <c r="S30" s="1042"/>
      <c r="T30" s="1042"/>
      <c r="U30" s="1042"/>
      <c r="V30" s="1042"/>
      <c r="W30" s="1042"/>
      <c r="X30" s="1042"/>
      <c r="Y30" s="1041">
        <v>9</v>
      </c>
      <c r="Z30" s="1040">
        <v>0</v>
      </c>
      <c r="AA30" s="1039"/>
      <c r="AB30" s="1638">
        <f t="shared" si="16"/>
        <v>0</v>
      </c>
      <c r="AC30" s="1634">
        <f t="shared" si="7"/>
        <v>0</v>
      </c>
      <c r="AD30" s="1639">
        <v>0</v>
      </c>
      <c r="AE30" s="1634" t="s">
        <v>1090</v>
      </c>
      <c r="AF30" s="1634">
        <f t="shared" si="17"/>
        <v>0</v>
      </c>
      <c r="AG30" s="1634">
        <f t="shared" si="18"/>
        <v>0</v>
      </c>
      <c r="AH30" s="1640">
        <v>0</v>
      </c>
      <c r="AI30" s="1640"/>
      <c r="AJ30" s="1640"/>
      <c r="AK30" s="1640" t="s">
        <v>1899</v>
      </c>
      <c r="AL30" s="1640"/>
      <c r="AM30" s="1740">
        <f t="shared" si="19"/>
        <v>0</v>
      </c>
      <c r="AN30" s="1731">
        <f t="shared" si="2"/>
        <v>0</v>
      </c>
      <c r="AO30" s="1730">
        <v>0</v>
      </c>
      <c r="AP30" s="1731">
        <v>0</v>
      </c>
      <c r="AQ30" s="1731">
        <f t="shared" si="20"/>
        <v>0</v>
      </c>
      <c r="AR30" s="1731">
        <v>0</v>
      </c>
      <c r="AS30" s="1750">
        <v>0</v>
      </c>
      <c r="AT30" s="1730"/>
      <c r="AU30" s="1730" t="s">
        <v>2220</v>
      </c>
      <c r="AV30" s="1730"/>
      <c r="AW30" s="2250">
        <f t="shared" si="21"/>
        <v>9</v>
      </c>
      <c r="AX30" s="2251">
        <f t="shared" si="4"/>
        <v>1</v>
      </c>
      <c r="AY30" s="2197">
        <v>0</v>
      </c>
      <c r="AZ30" s="2251">
        <v>0</v>
      </c>
      <c r="BA30" s="893"/>
      <c r="BB30" s="2251">
        <v>0</v>
      </c>
      <c r="BC30" s="2310">
        <v>0</v>
      </c>
      <c r="BD30" s="2197" t="s">
        <v>1090</v>
      </c>
      <c r="BE30" s="2197" t="s">
        <v>2816</v>
      </c>
      <c r="BF30" s="893"/>
      <c r="BG30" s="2352">
        <f t="shared" si="22"/>
        <v>9</v>
      </c>
      <c r="BH30" s="2352">
        <f t="shared" si="5"/>
        <v>1</v>
      </c>
      <c r="BI30" s="2401">
        <v>0</v>
      </c>
      <c r="BJ30" s="2352">
        <v>0</v>
      </c>
      <c r="BK30" s="2398"/>
      <c r="BL30" s="2352">
        <v>0</v>
      </c>
      <c r="BM30" s="2400"/>
      <c r="BN30" s="2397"/>
      <c r="BO30" s="2397" t="s">
        <v>2816</v>
      </c>
      <c r="BP30" s="2398"/>
    </row>
    <row r="31" spans="1:68" s="842" customFormat="1" ht="51.75" thickBot="1">
      <c r="A31" s="2738"/>
      <c r="B31" s="2739"/>
      <c r="C31" s="2519"/>
      <c r="D31" s="1048" t="s">
        <v>1513</v>
      </c>
      <c r="E31" s="1046" t="s">
        <v>1165</v>
      </c>
      <c r="F31" s="1047">
        <v>1</v>
      </c>
      <c r="G31" s="1046" t="s">
        <v>1166</v>
      </c>
      <c r="H31" s="1045" t="s">
        <v>1631</v>
      </c>
      <c r="I31" s="1015">
        <f t="shared" si="15"/>
        <v>0.05555555555555555</v>
      </c>
      <c r="J31" s="1044" t="s">
        <v>1167</v>
      </c>
      <c r="K31" s="1043">
        <v>42156</v>
      </c>
      <c r="L31" s="1043">
        <v>42216</v>
      </c>
      <c r="M31" s="1042"/>
      <c r="N31" s="1042"/>
      <c r="O31" s="1042"/>
      <c r="P31" s="1042"/>
      <c r="Q31" s="1042"/>
      <c r="R31" s="1042"/>
      <c r="S31" s="1042">
        <v>1</v>
      </c>
      <c r="T31" s="1042"/>
      <c r="U31" s="1042"/>
      <c r="V31" s="1042"/>
      <c r="W31" s="1042"/>
      <c r="X31" s="1042"/>
      <c r="Y31" s="1041">
        <v>1</v>
      </c>
      <c r="Z31" s="1040">
        <v>0</v>
      </c>
      <c r="AA31" s="1039"/>
      <c r="AB31" s="1638">
        <f t="shared" si="16"/>
        <v>0</v>
      </c>
      <c r="AC31" s="1634">
        <f t="shared" si="7"/>
        <v>0</v>
      </c>
      <c r="AD31" s="1639">
        <v>0</v>
      </c>
      <c r="AE31" s="1634" t="s">
        <v>1090</v>
      </c>
      <c r="AF31" s="1634">
        <f t="shared" si="17"/>
        <v>0</v>
      </c>
      <c r="AG31" s="1634">
        <f t="shared" si="18"/>
        <v>0</v>
      </c>
      <c r="AH31" s="1640">
        <v>0</v>
      </c>
      <c r="AI31" s="1640"/>
      <c r="AJ31" s="1640"/>
      <c r="AK31" s="1640" t="s">
        <v>1899</v>
      </c>
      <c r="AL31" s="1640"/>
      <c r="AM31" s="1740">
        <f t="shared" si="19"/>
        <v>0</v>
      </c>
      <c r="AN31" s="1731">
        <f t="shared" si="2"/>
        <v>0</v>
      </c>
      <c r="AO31" s="1730">
        <v>0</v>
      </c>
      <c r="AP31" s="1731">
        <v>1</v>
      </c>
      <c r="AQ31" s="1731">
        <f t="shared" si="20"/>
        <v>0</v>
      </c>
      <c r="AR31" s="1731">
        <v>0</v>
      </c>
      <c r="AS31" s="1750">
        <v>0</v>
      </c>
      <c r="AT31" s="1730"/>
      <c r="AU31" s="1730" t="s">
        <v>2221</v>
      </c>
      <c r="AV31" s="1730"/>
      <c r="AW31" s="2250">
        <f t="shared" si="21"/>
        <v>0</v>
      </c>
      <c r="AX31" s="2251">
        <f t="shared" si="4"/>
        <v>0</v>
      </c>
      <c r="AY31" s="2197">
        <v>0</v>
      </c>
      <c r="AZ31" s="2251" t="s">
        <v>1090</v>
      </c>
      <c r="BA31" s="893"/>
      <c r="BB31" s="2251">
        <v>0</v>
      </c>
      <c r="BC31" s="2310">
        <v>0</v>
      </c>
      <c r="BD31" s="2197" t="s">
        <v>1090</v>
      </c>
      <c r="BE31" s="2197" t="s">
        <v>2221</v>
      </c>
      <c r="BF31" s="893"/>
      <c r="BG31" s="2352">
        <f t="shared" si="22"/>
        <v>1</v>
      </c>
      <c r="BH31" s="2352">
        <f t="shared" si="5"/>
        <v>1</v>
      </c>
      <c r="BI31" s="2401">
        <v>1</v>
      </c>
      <c r="BJ31" s="2352">
        <v>1</v>
      </c>
      <c r="BK31" s="2398"/>
      <c r="BL31" s="2352">
        <v>1</v>
      </c>
      <c r="BM31" s="2400"/>
      <c r="BN31" s="2397"/>
      <c r="BO31" s="2397" t="s">
        <v>2221</v>
      </c>
      <c r="BP31" s="2398"/>
    </row>
    <row r="32" spans="1:68" s="842" customFormat="1" ht="64.5" thickBot="1">
      <c r="A32" s="2738"/>
      <c r="B32" s="2739"/>
      <c r="C32" s="2519"/>
      <c r="D32" s="1048" t="s">
        <v>1514</v>
      </c>
      <c r="E32" s="1046" t="s">
        <v>1168</v>
      </c>
      <c r="F32" s="1047">
        <v>1</v>
      </c>
      <c r="G32" s="1046" t="s">
        <v>1169</v>
      </c>
      <c r="H32" s="1045" t="s">
        <v>1629</v>
      </c>
      <c r="I32" s="1015">
        <f t="shared" si="15"/>
        <v>0.05555555555555555</v>
      </c>
      <c r="J32" s="1044" t="s">
        <v>1170</v>
      </c>
      <c r="K32" s="1043">
        <v>42217</v>
      </c>
      <c r="L32" s="1043">
        <v>42277</v>
      </c>
      <c r="M32" s="1042"/>
      <c r="N32" s="1042"/>
      <c r="O32" s="1042"/>
      <c r="P32" s="1042"/>
      <c r="Q32" s="1042"/>
      <c r="R32" s="1042"/>
      <c r="S32" s="1042"/>
      <c r="T32" s="1042"/>
      <c r="U32" s="1042">
        <v>1</v>
      </c>
      <c r="V32" s="1042"/>
      <c r="W32" s="1042"/>
      <c r="X32" s="1042"/>
      <c r="Y32" s="1041">
        <v>1</v>
      </c>
      <c r="Z32" s="1040">
        <v>0</v>
      </c>
      <c r="AA32" s="1039"/>
      <c r="AB32" s="1638">
        <f t="shared" si="16"/>
        <v>0</v>
      </c>
      <c r="AC32" s="1634">
        <f t="shared" si="7"/>
        <v>0</v>
      </c>
      <c r="AD32" s="1639">
        <v>0</v>
      </c>
      <c r="AE32" s="1634" t="s">
        <v>1090</v>
      </c>
      <c r="AF32" s="1634">
        <f t="shared" si="17"/>
        <v>0</v>
      </c>
      <c r="AG32" s="1634">
        <f t="shared" si="18"/>
        <v>0</v>
      </c>
      <c r="AH32" s="1640">
        <v>0</v>
      </c>
      <c r="AI32" s="1640"/>
      <c r="AJ32" s="1640"/>
      <c r="AK32" s="1640" t="s">
        <v>1899</v>
      </c>
      <c r="AL32" s="1640"/>
      <c r="AM32" s="1740">
        <f t="shared" si="19"/>
        <v>0</v>
      </c>
      <c r="AN32" s="1731">
        <f t="shared" si="2"/>
        <v>0</v>
      </c>
      <c r="AO32" s="1730">
        <v>0</v>
      </c>
      <c r="AP32" s="1731">
        <v>0</v>
      </c>
      <c r="AQ32" s="1731">
        <f t="shared" si="20"/>
        <v>0</v>
      </c>
      <c r="AR32" s="1731">
        <v>0</v>
      </c>
      <c r="AS32" s="1750">
        <v>0</v>
      </c>
      <c r="AT32" s="1730"/>
      <c r="AU32" s="1730" t="s">
        <v>2222</v>
      </c>
      <c r="AV32" s="1730"/>
      <c r="AW32" s="2250">
        <f t="shared" si="21"/>
        <v>0</v>
      </c>
      <c r="AX32" s="2251">
        <f t="shared" si="4"/>
        <v>0</v>
      </c>
      <c r="AY32" s="2197">
        <v>0</v>
      </c>
      <c r="AZ32" s="2251" t="s">
        <v>1090</v>
      </c>
      <c r="BA32" s="893"/>
      <c r="BB32" s="2251">
        <v>0</v>
      </c>
      <c r="BC32" s="2310">
        <v>0</v>
      </c>
      <c r="BD32" s="2197" t="s">
        <v>1090</v>
      </c>
      <c r="BE32" s="2197" t="s">
        <v>2817</v>
      </c>
      <c r="BF32" s="893"/>
      <c r="BG32" s="2399">
        <f t="shared" si="22"/>
        <v>0</v>
      </c>
      <c r="BH32" s="2352">
        <f t="shared" si="5"/>
        <v>0</v>
      </c>
      <c r="BI32" s="2397" t="s">
        <v>1090</v>
      </c>
      <c r="BJ32" s="2352" t="s">
        <v>1090</v>
      </c>
      <c r="BK32" s="2398"/>
      <c r="BL32" s="2352">
        <v>0.8</v>
      </c>
      <c r="BM32" s="2400"/>
      <c r="BN32" s="2397"/>
      <c r="BO32" s="2397" t="s">
        <v>2817</v>
      </c>
      <c r="BP32" s="2398"/>
    </row>
    <row r="33" spans="1:68" s="842" customFormat="1" ht="51.75" thickBot="1">
      <c r="A33" s="2738"/>
      <c r="B33" s="2739"/>
      <c r="C33" s="2519"/>
      <c r="D33" s="1048" t="s">
        <v>1515</v>
      </c>
      <c r="E33" s="1046" t="s">
        <v>1171</v>
      </c>
      <c r="F33" s="1047">
        <v>3</v>
      </c>
      <c r="G33" s="1046" t="s">
        <v>1172</v>
      </c>
      <c r="H33" s="1045" t="s">
        <v>1630</v>
      </c>
      <c r="I33" s="1015">
        <f t="shared" si="15"/>
        <v>0.05555555555555555</v>
      </c>
      <c r="J33" s="1044" t="s">
        <v>1173</v>
      </c>
      <c r="K33" s="1043">
        <v>42278</v>
      </c>
      <c r="L33" s="1043">
        <v>42338</v>
      </c>
      <c r="M33" s="1042"/>
      <c r="N33" s="1042"/>
      <c r="O33" s="1042"/>
      <c r="P33" s="1042"/>
      <c r="Q33" s="1042"/>
      <c r="R33" s="1042"/>
      <c r="S33" s="1042"/>
      <c r="T33" s="1042"/>
      <c r="U33" s="1042"/>
      <c r="V33" s="1042"/>
      <c r="W33" s="1042">
        <v>3</v>
      </c>
      <c r="X33" s="1042"/>
      <c r="Y33" s="1041">
        <v>3</v>
      </c>
      <c r="Z33" s="1040">
        <v>0</v>
      </c>
      <c r="AA33" s="1039"/>
      <c r="AB33" s="1638">
        <f t="shared" si="16"/>
        <v>0</v>
      </c>
      <c r="AC33" s="1634">
        <f t="shared" si="7"/>
        <v>0</v>
      </c>
      <c r="AD33" s="1639">
        <v>0</v>
      </c>
      <c r="AE33" s="1634" t="s">
        <v>1090</v>
      </c>
      <c r="AF33" s="1634">
        <f t="shared" si="17"/>
        <v>0</v>
      </c>
      <c r="AG33" s="1634">
        <f t="shared" si="18"/>
        <v>0</v>
      </c>
      <c r="AH33" s="1640">
        <v>0</v>
      </c>
      <c r="AI33" s="1640"/>
      <c r="AJ33" s="1640"/>
      <c r="AK33" s="1640" t="s">
        <v>1899</v>
      </c>
      <c r="AL33" s="1640"/>
      <c r="AM33" s="1740">
        <f t="shared" si="19"/>
        <v>0</v>
      </c>
      <c r="AN33" s="1731">
        <f t="shared" si="2"/>
        <v>0</v>
      </c>
      <c r="AO33" s="1730">
        <v>0</v>
      </c>
      <c r="AP33" s="1731">
        <v>0</v>
      </c>
      <c r="AQ33" s="1731">
        <f t="shared" si="20"/>
        <v>0</v>
      </c>
      <c r="AR33" s="1731">
        <v>0</v>
      </c>
      <c r="AS33" s="1750">
        <v>0</v>
      </c>
      <c r="AT33" s="1730"/>
      <c r="AU33" s="1730" t="s">
        <v>2223</v>
      </c>
      <c r="AV33" s="1730"/>
      <c r="AW33" s="2250">
        <f t="shared" si="21"/>
        <v>0</v>
      </c>
      <c r="AX33" s="2251">
        <f t="shared" si="4"/>
        <v>0</v>
      </c>
      <c r="AY33" s="2197">
        <v>0</v>
      </c>
      <c r="AZ33" s="2251" t="s">
        <v>1090</v>
      </c>
      <c r="BA33" s="893"/>
      <c r="BB33" s="2251">
        <v>0</v>
      </c>
      <c r="BC33" s="2310">
        <v>0</v>
      </c>
      <c r="BD33" s="2197" t="s">
        <v>1090</v>
      </c>
      <c r="BE33" s="2197" t="s">
        <v>2223</v>
      </c>
      <c r="BF33" s="893"/>
      <c r="BG33" s="2399">
        <f t="shared" si="22"/>
        <v>0</v>
      </c>
      <c r="BH33" s="2352">
        <f t="shared" si="5"/>
        <v>0</v>
      </c>
      <c r="BI33" s="2397" t="s">
        <v>1090</v>
      </c>
      <c r="BJ33" s="2352" t="s">
        <v>1090</v>
      </c>
      <c r="BK33" s="2398"/>
      <c r="BL33" s="2352">
        <v>0</v>
      </c>
      <c r="BM33" s="2400"/>
      <c r="BN33" s="2397"/>
      <c r="BO33" s="2397" t="s">
        <v>2223</v>
      </c>
      <c r="BP33" s="2398"/>
    </row>
    <row r="34" spans="1:68" s="842" customFormat="1" ht="64.5" thickBot="1">
      <c r="A34" s="2738"/>
      <c r="B34" s="2739"/>
      <c r="C34" s="2519"/>
      <c r="D34" s="1048" t="s">
        <v>1174</v>
      </c>
      <c r="E34" s="1046" t="s">
        <v>1175</v>
      </c>
      <c r="F34" s="1047">
        <v>1</v>
      </c>
      <c r="G34" s="1046" t="s">
        <v>1176</v>
      </c>
      <c r="H34" s="1045" t="s">
        <v>1629</v>
      </c>
      <c r="I34" s="1015">
        <f t="shared" si="15"/>
        <v>0.05555555555555555</v>
      </c>
      <c r="J34" s="1044" t="s">
        <v>1177</v>
      </c>
      <c r="K34" s="1043">
        <v>42338</v>
      </c>
      <c r="L34" s="1043">
        <v>42369</v>
      </c>
      <c r="M34" s="1042"/>
      <c r="N34" s="1042"/>
      <c r="O34" s="1042"/>
      <c r="P34" s="1042"/>
      <c r="Q34" s="1042"/>
      <c r="R34" s="1042"/>
      <c r="S34" s="1042"/>
      <c r="T34" s="1042"/>
      <c r="U34" s="1042"/>
      <c r="V34" s="1042"/>
      <c r="W34" s="1042"/>
      <c r="X34" s="1042">
        <v>1</v>
      </c>
      <c r="Y34" s="1041">
        <v>1</v>
      </c>
      <c r="Z34" s="1040">
        <v>0</v>
      </c>
      <c r="AA34" s="1039"/>
      <c r="AB34" s="1638">
        <f t="shared" si="16"/>
        <v>0</v>
      </c>
      <c r="AC34" s="1634">
        <f t="shared" si="7"/>
        <v>0</v>
      </c>
      <c r="AD34" s="1639">
        <v>0</v>
      </c>
      <c r="AE34" s="1634" t="s">
        <v>1090</v>
      </c>
      <c r="AF34" s="1634">
        <f t="shared" si="17"/>
        <v>0</v>
      </c>
      <c r="AG34" s="1634">
        <f t="shared" si="18"/>
        <v>0</v>
      </c>
      <c r="AH34" s="1640">
        <v>0</v>
      </c>
      <c r="AI34" s="1640"/>
      <c r="AJ34" s="1640"/>
      <c r="AK34" s="1640" t="s">
        <v>1899</v>
      </c>
      <c r="AL34" s="1640"/>
      <c r="AM34" s="1740">
        <f t="shared" si="19"/>
        <v>0</v>
      </c>
      <c r="AN34" s="1731">
        <f t="shared" si="2"/>
        <v>0</v>
      </c>
      <c r="AO34" s="1730">
        <v>0</v>
      </c>
      <c r="AP34" s="1731">
        <v>0</v>
      </c>
      <c r="AQ34" s="1731">
        <f t="shared" si="20"/>
        <v>0</v>
      </c>
      <c r="AR34" s="1731">
        <v>0</v>
      </c>
      <c r="AS34" s="1750">
        <v>0</v>
      </c>
      <c r="AT34" s="1730"/>
      <c r="AU34" s="1730" t="s">
        <v>2223</v>
      </c>
      <c r="AV34" s="1730"/>
      <c r="AW34" s="2250">
        <f t="shared" si="21"/>
        <v>0</v>
      </c>
      <c r="AX34" s="2251">
        <f t="shared" si="4"/>
        <v>0</v>
      </c>
      <c r="AY34" s="2197">
        <v>0</v>
      </c>
      <c r="AZ34" s="2251" t="s">
        <v>1090</v>
      </c>
      <c r="BA34" s="893"/>
      <c r="BB34" s="2251">
        <v>0</v>
      </c>
      <c r="BC34" s="2310">
        <v>0</v>
      </c>
      <c r="BD34" s="2197" t="s">
        <v>1090</v>
      </c>
      <c r="BE34" s="2197" t="s">
        <v>2818</v>
      </c>
      <c r="BF34" s="893"/>
      <c r="BG34" s="2399">
        <f t="shared" si="22"/>
        <v>0</v>
      </c>
      <c r="BH34" s="2352">
        <f t="shared" si="5"/>
        <v>0</v>
      </c>
      <c r="BI34" s="2397" t="s">
        <v>1090</v>
      </c>
      <c r="BJ34" s="2352" t="s">
        <v>1090</v>
      </c>
      <c r="BK34" s="2398"/>
      <c r="BL34" s="2352">
        <v>0.2</v>
      </c>
      <c r="BM34" s="2400"/>
      <c r="BN34" s="2397"/>
      <c r="BO34" s="2397" t="s">
        <v>2818</v>
      </c>
      <c r="BP34" s="2398"/>
    </row>
    <row r="35" spans="1:68" s="842" customFormat="1" ht="63.75" customHeight="1" thickBot="1">
      <c r="A35" s="2738"/>
      <c r="B35" s="2739"/>
      <c r="C35" s="2519" t="s">
        <v>1371</v>
      </c>
      <c r="D35" s="1065" t="s">
        <v>1628</v>
      </c>
      <c r="E35" s="1064" t="s">
        <v>1232</v>
      </c>
      <c r="F35" s="1063">
        <v>1</v>
      </c>
      <c r="G35" s="1062" t="s">
        <v>1353</v>
      </c>
      <c r="H35" s="1061" t="s">
        <v>1627</v>
      </c>
      <c r="I35" s="1015">
        <f t="shared" si="15"/>
        <v>0.05555555555555555</v>
      </c>
      <c r="J35" s="1060" t="s">
        <v>1372</v>
      </c>
      <c r="K35" s="1059">
        <v>42037</v>
      </c>
      <c r="L35" s="1059">
        <v>42353</v>
      </c>
      <c r="M35" s="870"/>
      <c r="N35" s="870"/>
      <c r="O35" s="870"/>
      <c r="P35" s="870"/>
      <c r="Q35" s="870"/>
      <c r="R35" s="870"/>
      <c r="S35" s="870"/>
      <c r="T35" s="870"/>
      <c r="U35" s="870"/>
      <c r="V35" s="870"/>
      <c r="W35" s="870"/>
      <c r="X35" s="870">
        <v>1</v>
      </c>
      <c r="Y35" s="962">
        <f>SUM(M35:X35)</f>
        <v>1</v>
      </c>
      <c r="Z35" s="868">
        <v>0</v>
      </c>
      <c r="AA35" s="850" t="s">
        <v>1090</v>
      </c>
      <c r="AB35" s="1638">
        <f t="shared" si="16"/>
        <v>0</v>
      </c>
      <c r="AC35" s="1634">
        <f t="shared" si="7"/>
        <v>0</v>
      </c>
      <c r="AD35" s="1639">
        <v>0</v>
      </c>
      <c r="AE35" s="1634" t="s">
        <v>1090</v>
      </c>
      <c r="AF35" s="1634">
        <f t="shared" si="17"/>
        <v>0</v>
      </c>
      <c r="AG35" s="1634">
        <f t="shared" si="18"/>
        <v>0</v>
      </c>
      <c r="AH35" s="1640">
        <v>0.05</v>
      </c>
      <c r="AI35" s="1640"/>
      <c r="AJ35" s="1640"/>
      <c r="AK35" s="1640" t="s">
        <v>1900</v>
      </c>
      <c r="AL35" s="1640"/>
      <c r="AM35" s="1740">
        <f t="shared" si="19"/>
        <v>0</v>
      </c>
      <c r="AN35" s="1731">
        <f t="shared" si="2"/>
        <v>0</v>
      </c>
      <c r="AO35" s="1730">
        <v>0</v>
      </c>
      <c r="AP35" s="1731">
        <v>0.5</v>
      </c>
      <c r="AQ35" s="1731">
        <f t="shared" si="20"/>
        <v>0</v>
      </c>
      <c r="AR35" s="1731">
        <v>0</v>
      </c>
      <c r="AS35" s="1750">
        <v>0</v>
      </c>
      <c r="AT35" s="1730"/>
      <c r="AU35" s="1730" t="s">
        <v>2224</v>
      </c>
      <c r="AV35" s="1730"/>
      <c r="AW35" s="2250">
        <f t="shared" si="21"/>
        <v>0</v>
      </c>
      <c r="AX35" s="2251">
        <f t="shared" si="4"/>
        <v>0</v>
      </c>
      <c r="AY35" s="2197">
        <v>0</v>
      </c>
      <c r="AZ35" s="2251" t="s">
        <v>1090</v>
      </c>
      <c r="BA35" s="893"/>
      <c r="BB35" s="2251">
        <v>0</v>
      </c>
      <c r="BC35" s="2310">
        <v>0</v>
      </c>
      <c r="BD35" s="2197" t="s">
        <v>1090</v>
      </c>
      <c r="BE35" s="2197" t="s">
        <v>2224</v>
      </c>
      <c r="BF35" s="893"/>
      <c r="BG35" s="2399">
        <f t="shared" si="22"/>
        <v>0</v>
      </c>
      <c r="BH35" s="2352">
        <f t="shared" si="5"/>
        <v>0</v>
      </c>
      <c r="BI35" s="2397" t="s">
        <v>1090</v>
      </c>
      <c r="BJ35" s="2352" t="s">
        <v>1090</v>
      </c>
      <c r="BK35" s="2398"/>
      <c r="BL35" s="2352">
        <v>0.5</v>
      </c>
      <c r="BM35" s="2400"/>
      <c r="BN35" s="2397"/>
      <c r="BO35" s="2397" t="s">
        <v>2224</v>
      </c>
      <c r="BP35" s="2398"/>
    </row>
    <row r="36" spans="1:68" s="842" customFormat="1" ht="77.25" thickBot="1">
      <c r="A36" s="2738"/>
      <c r="B36" s="2739"/>
      <c r="C36" s="2519"/>
      <c r="D36" s="874" t="s">
        <v>1373</v>
      </c>
      <c r="E36" s="1016" t="s">
        <v>1374</v>
      </c>
      <c r="F36" s="1017">
        <v>3</v>
      </c>
      <c r="G36" s="1016" t="s">
        <v>1375</v>
      </c>
      <c r="H36" s="1058" t="s">
        <v>1627</v>
      </c>
      <c r="I36" s="1015">
        <f t="shared" si="15"/>
        <v>0.05555555555555555</v>
      </c>
      <c r="J36" s="1014" t="s">
        <v>1376</v>
      </c>
      <c r="K36" s="1003">
        <v>42156</v>
      </c>
      <c r="L36" s="1003">
        <v>42353</v>
      </c>
      <c r="M36" s="932"/>
      <c r="N36" s="932"/>
      <c r="O36" s="932"/>
      <c r="P36" s="932"/>
      <c r="Q36" s="932"/>
      <c r="R36" s="932">
        <v>1</v>
      </c>
      <c r="S36" s="932"/>
      <c r="T36" s="932"/>
      <c r="U36" s="932">
        <v>1</v>
      </c>
      <c r="V36" s="932"/>
      <c r="W36" s="932"/>
      <c r="X36" s="932">
        <v>1</v>
      </c>
      <c r="Y36" s="1057">
        <f>SUM(M36:X36)</f>
        <v>3</v>
      </c>
      <c r="Z36" s="941">
        <v>20000000</v>
      </c>
      <c r="AA36" s="850" t="s">
        <v>1090</v>
      </c>
      <c r="AB36" s="1638">
        <f t="shared" si="16"/>
        <v>0</v>
      </c>
      <c r="AC36" s="1634">
        <f t="shared" si="7"/>
        <v>0</v>
      </c>
      <c r="AD36" s="1639">
        <v>0</v>
      </c>
      <c r="AE36" s="1634" t="s">
        <v>1090</v>
      </c>
      <c r="AF36" s="1634">
        <f t="shared" si="17"/>
        <v>0</v>
      </c>
      <c r="AG36" s="1634">
        <f t="shared" si="18"/>
        <v>0</v>
      </c>
      <c r="AH36" s="1640">
        <v>0.2</v>
      </c>
      <c r="AI36" s="1640"/>
      <c r="AJ36" s="1640"/>
      <c r="AK36" s="1640" t="s">
        <v>1901</v>
      </c>
      <c r="AL36" s="1640"/>
      <c r="AM36" s="1740">
        <f t="shared" si="19"/>
        <v>0</v>
      </c>
      <c r="AN36" s="1731">
        <f t="shared" si="2"/>
        <v>0</v>
      </c>
      <c r="AO36" s="1730">
        <v>0</v>
      </c>
      <c r="AP36" s="1731">
        <v>1</v>
      </c>
      <c r="AQ36" s="1731">
        <f t="shared" si="20"/>
        <v>0</v>
      </c>
      <c r="AR36" s="1731">
        <v>0</v>
      </c>
      <c r="AS36" s="1750">
        <v>0</v>
      </c>
      <c r="AT36" s="1730"/>
      <c r="AU36" s="1730" t="s">
        <v>2225</v>
      </c>
      <c r="AV36" s="1730"/>
      <c r="AW36" s="2250">
        <f t="shared" si="21"/>
        <v>1</v>
      </c>
      <c r="AX36" s="2251">
        <f t="shared" si="4"/>
        <v>1</v>
      </c>
      <c r="AY36" s="2197">
        <v>1</v>
      </c>
      <c r="AZ36" s="2251">
        <v>1</v>
      </c>
      <c r="BA36" s="893"/>
      <c r="BB36" s="2251">
        <f>AY36/Y36</f>
        <v>0.3333333333333333</v>
      </c>
      <c r="BC36" s="2310">
        <v>0</v>
      </c>
      <c r="BD36" s="2197" t="s">
        <v>1090</v>
      </c>
      <c r="BE36" s="2197" t="s">
        <v>2225</v>
      </c>
      <c r="BF36" s="893"/>
      <c r="BG36" s="2399">
        <f t="shared" si="22"/>
        <v>1</v>
      </c>
      <c r="BH36" s="2352">
        <f t="shared" si="5"/>
        <v>1</v>
      </c>
      <c r="BI36" s="2397">
        <v>1</v>
      </c>
      <c r="BJ36" s="2352">
        <v>1</v>
      </c>
      <c r="BK36" s="2398"/>
      <c r="BL36" s="2352">
        <f>BI36/Y36</f>
        <v>0.3333333333333333</v>
      </c>
      <c r="BM36" s="2400"/>
      <c r="BN36" s="2397"/>
      <c r="BO36" s="2397" t="s">
        <v>2225</v>
      </c>
      <c r="BP36" s="2398"/>
    </row>
    <row r="37" spans="1:68" s="796" customFormat="1" ht="111.75" customHeight="1" thickBot="1">
      <c r="A37" s="2738"/>
      <c r="B37" s="2739"/>
      <c r="C37" s="2519"/>
      <c r="D37" s="2740" t="s">
        <v>1377</v>
      </c>
      <c r="E37" s="1056" t="s">
        <v>1378</v>
      </c>
      <c r="F37" s="889">
        <v>1</v>
      </c>
      <c r="G37" s="889" t="s">
        <v>1379</v>
      </c>
      <c r="H37" s="1053" t="s">
        <v>1380</v>
      </c>
      <c r="I37" s="1015">
        <f t="shared" si="15"/>
        <v>0.05555555555555555</v>
      </c>
      <c r="J37" s="889" t="s">
        <v>1381</v>
      </c>
      <c r="K37" s="937">
        <v>42037</v>
      </c>
      <c r="L37" s="937">
        <v>42353</v>
      </c>
      <c r="M37" s="1052"/>
      <c r="N37" s="1052"/>
      <c r="O37" s="1052"/>
      <c r="P37" s="1052"/>
      <c r="Q37" s="1052"/>
      <c r="R37" s="963"/>
      <c r="S37" s="963"/>
      <c r="T37" s="1052"/>
      <c r="U37" s="963">
        <v>3</v>
      </c>
      <c r="V37" s="963"/>
      <c r="W37" s="963"/>
      <c r="X37" s="963"/>
      <c r="Y37" s="962">
        <f>SUM(M37:X37)</f>
        <v>3</v>
      </c>
      <c r="Z37" s="941">
        <v>0</v>
      </c>
      <c r="AA37" s="850" t="s">
        <v>1090</v>
      </c>
      <c r="AB37" s="1638">
        <f t="shared" si="16"/>
        <v>0</v>
      </c>
      <c r="AC37" s="1634">
        <f t="shared" si="7"/>
        <v>0</v>
      </c>
      <c r="AD37" s="1639">
        <v>0</v>
      </c>
      <c r="AE37" s="1634" t="s">
        <v>1090</v>
      </c>
      <c r="AF37" s="1634">
        <f t="shared" si="17"/>
        <v>0</v>
      </c>
      <c r="AG37" s="1634">
        <f t="shared" si="18"/>
        <v>0</v>
      </c>
      <c r="AH37" s="1640">
        <v>0</v>
      </c>
      <c r="AI37" s="1642"/>
      <c r="AJ37" s="1640"/>
      <c r="AK37" s="1642" t="s">
        <v>1902</v>
      </c>
      <c r="AL37" s="1642"/>
      <c r="AM37" s="1740">
        <f t="shared" si="19"/>
        <v>0</v>
      </c>
      <c r="AN37" s="1731">
        <f t="shared" si="2"/>
        <v>0</v>
      </c>
      <c r="AO37" s="1728">
        <v>0</v>
      </c>
      <c r="AP37" s="1729">
        <v>0.8</v>
      </c>
      <c r="AQ37" s="1731">
        <f t="shared" si="20"/>
        <v>0</v>
      </c>
      <c r="AR37" s="1731">
        <v>0</v>
      </c>
      <c r="AS37" s="1749">
        <v>0</v>
      </c>
      <c r="AT37" s="1728"/>
      <c r="AU37" s="1728" t="s">
        <v>2226</v>
      </c>
      <c r="AV37" s="1728"/>
      <c r="AW37" s="2250">
        <f t="shared" si="21"/>
        <v>0</v>
      </c>
      <c r="AX37" s="2251">
        <f t="shared" si="4"/>
        <v>0</v>
      </c>
      <c r="AY37" s="2196">
        <v>0</v>
      </c>
      <c r="AZ37" s="2218" t="s">
        <v>1090</v>
      </c>
      <c r="BA37" s="795"/>
      <c r="BB37" s="2218">
        <v>0</v>
      </c>
      <c r="BC37" s="2310">
        <v>0</v>
      </c>
      <c r="BD37" s="2197" t="s">
        <v>1090</v>
      </c>
      <c r="BE37" s="2197" t="s">
        <v>2819</v>
      </c>
      <c r="BF37" s="893"/>
      <c r="BG37" s="2399">
        <f t="shared" si="22"/>
        <v>0</v>
      </c>
      <c r="BH37" s="2352">
        <f t="shared" si="5"/>
        <v>0</v>
      </c>
      <c r="BI37" s="2392" t="s">
        <v>1090</v>
      </c>
      <c r="BJ37" s="2391" t="s">
        <v>1090</v>
      </c>
      <c r="BK37" s="2393"/>
      <c r="BL37" s="2391">
        <v>0.8</v>
      </c>
      <c r="BM37" s="2400"/>
      <c r="BN37" s="2397"/>
      <c r="BO37" s="2397" t="s">
        <v>2819</v>
      </c>
      <c r="BP37" s="2398"/>
    </row>
    <row r="38" spans="1:68" s="796" customFormat="1" ht="39.75" thickBot="1">
      <c r="A38" s="2738"/>
      <c r="B38" s="2739"/>
      <c r="C38" s="2519"/>
      <c r="D38" s="2740"/>
      <c r="E38" s="1055" t="s">
        <v>1162</v>
      </c>
      <c r="F38" s="1054">
        <v>1</v>
      </c>
      <c r="G38" s="889" t="s">
        <v>1382</v>
      </c>
      <c r="H38" s="1053" t="s">
        <v>1380</v>
      </c>
      <c r="I38" s="1015">
        <f t="shared" si="15"/>
        <v>0.05555555555555555</v>
      </c>
      <c r="J38" s="889" t="s">
        <v>1383</v>
      </c>
      <c r="K38" s="937">
        <v>42037</v>
      </c>
      <c r="L38" s="937">
        <v>42353</v>
      </c>
      <c r="M38" s="1052"/>
      <c r="N38" s="1052"/>
      <c r="O38" s="1052"/>
      <c r="P38" s="1052"/>
      <c r="Q38" s="1052"/>
      <c r="R38" s="963"/>
      <c r="S38" s="963"/>
      <c r="T38" s="1052"/>
      <c r="U38" s="963"/>
      <c r="V38" s="963"/>
      <c r="W38" s="963"/>
      <c r="X38" s="963">
        <v>3</v>
      </c>
      <c r="Y38" s="962">
        <f>SUM(M38:X38)</f>
        <v>3</v>
      </c>
      <c r="Z38" s="941">
        <v>27000000</v>
      </c>
      <c r="AA38" s="850" t="s">
        <v>1090</v>
      </c>
      <c r="AB38" s="1638">
        <f t="shared" si="16"/>
        <v>0</v>
      </c>
      <c r="AC38" s="1634">
        <f t="shared" si="7"/>
        <v>0</v>
      </c>
      <c r="AD38" s="1639">
        <v>0</v>
      </c>
      <c r="AE38" s="1634" t="s">
        <v>1090</v>
      </c>
      <c r="AF38" s="1634">
        <f t="shared" si="17"/>
        <v>0</v>
      </c>
      <c r="AG38" s="1634">
        <f t="shared" si="18"/>
        <v>0</v>
      </c>
      <c r="AH38" s="1640">
        <v>0</v>
      </c>
      <c r="AI38" s="1642"/>
      <c r="AJ38" s="1640"/>
      <c r="AK38" s="1642" t="s">
        <v>1902</v>
      </c>
      <c r="AL38" s="1642"/>
      <c r="AM38" s="1740">
        <f t="shared" si="19"/>
        <v>0</v>
      </c>
      <c r="AN38" s="1731">
        <f t="shared" si="2"/>
        <v>0</v>
      </c>
      <c r="AO38" s="1728">
        <v>0</v>
      </c>
      <c r="AP38" s="1729">
        <v>0</v>
      </c>
      <c r="AQ38" s="1731">
        <f t="shared" si="20"/>
        <v>0</v>
      </c>
      <c r="AR38" s="1731">
        <v>0</v>
      </c>
      <c r="AS38" s="1749">
        <v>0</v>
      </c>
      <c r="AT38" s="1728"/>
      <c r="AU38" s="1728" t="s">
        <v>2227</v>
      </c>
      <c r="AV38" s="1728"/>
      <c r="AW38" s="2250">
        <f t="shared" si="21"/>
        <v>0</v>
      </c>
      <c r="AX38" s="2251">
        <f t="shared" si="4"/>
        <v>0</v>
      </c>
      <c r="AY38" s="2196">
        <v>0</v>
      </c>
      <c r="AZ38" s="2218" t="s">
        <v>1090</v>
      </c>
      <c r="BA38" s="795"/>
      <c r="BB38" s="2218">
        <v>0</v>
      </c>
      <c r="BC38" s="2310">
        <v>0</v>
      </c>
      <c r="BD38" s="2197" t="s">
        <v>1090</v>
      </c>
      <c r="BE38" s="2197" t="s">
        <v>2227</v>
      </c>
      <c r="BF38" s="893"/>
      <c r="BG38" s="2399">
        <f t="shared" si="22"/>
        <v>0</v>
      </c>
      <c r="BH38" s="2352">
        <f t="shared" si="5"/>
        <v>0</v>
      </c>
      <c r="BI38" s="2392" t="s">
        <v>1090</v>
      </c>
      <c r="BJ38" s="2391" t="s">
        <v>1090</v>
      </c>
      <c r="BK38" s="2393"/>
      <c r="BL38" s="2391">
        <v>0</v>
      </c>
      <c r="BM38" s="2400"/>
      <c r="BN38" s="2397"/>
      <c r="BO38" s="2397" t="s">
        <v>2227</v>
      </c>
      <c r="BP38" s="2398"/>
    </row>
    <row r="39" spans="1:68" s="842" customFormat="1" ht="72.75" customHeight="1" thickBot="1">
      <c r="A39" s="2738"/>
      <c r="B39" s="2739"/>
      <c r="C39" s="2519" t="s">
        <v>1384</v>
      </c>
      <c r="D39" s="874" t="s">
        <v>1626</v>
      </c>
      <c r="E39" s="887" t="s">
        <v>72</v>
      </c>
      <c r="F39" s="1049">
        <v>1</v>
      </c>
      <c r="G39" s="887" t="s">
        <v>1385</v>
      </c>
      <c r="H39" s="1005" t="s">
        <v>1624</v>
      </c>
      <c r="I39" s="1015">
        <f t="shared" si="15"/>
        <v>0.05555555555555555</v>
      </c>
      <c r="J39" s="809" t="s">
        <v>1386</v>
      </c>
      <c r="K39" s="871">
        <v>42037</v>
      </c>
      <c r="L39" s="871">
        <v>42353</v>
      </c>
      <c r="M39" s="870"/>
      <c r="N39" s="870"/>
      <c r="O39" s="870"/>
      <c r="P39" s="870"/>
      <c r="Q39" s="870"/>
      <c r="R39" s="870"/>
      <c r="S39" s="870"/>
      <c r="T39" s="870"/>
      <c r="U39" s="870"/>
      <c r="V39" s="870"/>
      <c r="W39" s="870"/>
      <c r="X39" s="870">
        <v>1</v>
      </c>
      <c r="Y39" s="995">
        <f>SUM(M39:X39)</f>
        <v>1</v>
      </c>
      <c r="Z39" s="868">
        <v>13438628</v>
      </c>
      <c r="AA39" s="850" t="s">
        <v>1136</v>
      </c>
      <c r="AB39" s="1638">
        <f t="shared" si="16"/>
        <v>0</v>
      </c>
      <c r="AC39" s="1634">
        <f t="shared" si="7"/>
        <v>0</v>
      </c>
      <c r="AD39" s="1639">
        <v>0</v>
      </c>
      <c r="AE39" s="1634" t="s">
        <v>1090</v>
      </c>
      <c r="AF39" s="1634">
        <f t="shared" si="17"/>
        <v>0</v>
      </c>
      <c r="AG39" s="1634">
        <f t="shared" si="18"/>
        <v>0</v>
      </c>
      <c r="AH39" s="1640">
        <v>0.05</v>
      </c>
      <c r="AI39" s="1640"/>
      <c r="AJ39" s="1640"/>
      <c r="AK39" s="1640" t="s">
        <v>1903</v>
      </c>
      <c r="AL39" s="1640"/>
      <c r="AM39" s="1740">
        <f t="shared" si="19"/>
        <v>0</v>
      </c>
      <c r="AN39" s="1731">
        <f t="shared" si="2"/>
        <v>0</v>
      </c>
      <c r="AO39" s="1730">
        <v>0</v>
      </c>
      <c r="AP39" s="1731">
        <v>0.1</v>
      </c>
      <c r="AQ39" s="1731">
        <f t="shared" si="20"/>
        <v>0</v>
      </c>
      <c r="AR39" s="1731">
        <v>0</v>
      </c>
      <c r="AS39" s="1750">
        <v>0</v>
      </c>
      <c r="AT39" s="1730"/>
      <c r="AU39" s="1730" t="s">
        <v>2228</v>
      </c>
      <c r="AV39" s="1730"/>
      <c r="AW39" s="2250">
        <f t="shared" si="21"/>
        <v>0</v>
      </c>
      <c r="AX39" s="2251">
        <f t="shared" si="4"/>
        <v>0</v>
      </c>
      <c r="AY39" s="2197">
        <v>0</v>
      </c>
      <c r="AZ39" s="2251" t="s">
        <v>1090</v>
      </c>
      <c r="BA39" s="893"/>
      <c r="BB39" s="2251">
        <v>0</v>
      </c>
      <c r="BC39" s="2310">
        <v>0</v>
      </c>
      <c r="BD39" s="2197" t="s">
        <v>1090</v>
      </c>
      <c r="BE39" s="2197" t="s">
        <v>2820</v>
      </c>
      <c r="BF39" s="893"/>
      <c r="BG39" s="2399">
        <f t="shared" si="22"/>
        <v>0</v>
      </c>
      <c r="BH39" s="2352">
        <f t="shared" si="5"/>
        <v>0</v>
      </c>
      <c r="BI39" s="2397" t="s">
        <v>1090</v>
      </c>
      <c r="BJ39" s="2352" t="s">
        <v>1090</v>
      </c>
      <c r="BK39" s="2398"/>
      <c r="BL39" s="2352">
        <v>0.1</v>
      </c>
      <c r="BM39" s="2400"/>
      <c r="BN39" s="2397"/>
      <c r="BO39" s="2397" t="s">
        <v>2820</v>
      </c>
      <c r="BP39" s="2398"/>
    </row>
    <row r="40" spans="1:68" s="842" customFormat="1" ht="98.25" customHeight="1" thickBot="1">
      <c r="A40" s="2738"/>
      <c r="B40" s="2739"/>
      <c r="C40" s="2519"/>
      <c r="D40" s="1050" t="s">
        <v>1387</v>
      </c>
      <c r="E40" s="887" t="s">
        <v>1388</v>
      </c>
      <c r="F40" s="1049">
        <v>1</v>
      </c>
      <c r="G40" s="887" t="s">
        <v>1389</v>
      </c>
      <c r="H40" s="1005" t="s">
        <v>1624</v>
      </c>
      <c r="I40" s="1015">
        <f t="shared" si="15"/>
        <v>0.05555555555555555</v>
      </c>
      <c r="J40" s="809" t="s">
        <v>1386</v>
      </c>
      <c r="K40" s="871">
        <v>42037</v>
      </c>
      <c r="L40" s="871">
        <v>42369</v>
      </c>
      <c r="M40" s="870"/>
      <c r="N40" s="870"/>
      <c r="O40" s="870"/>
      <c r="P40" s="870"/>
      <c r="Q40" s="870"/>
      <c r="R40" s="870"/>
      <c r="S40" s="870"/>
      <c r="T40" s="870"/>
      <c r="U40" s="870"/>
      <c r="V40" s="870"/>
      <c r="W40" s="870"/>
      <c r="X40" s="870">
        <v>1</v>
      </c>
      <c r="Y40" s="995">
        <v>1</v>
      </c>
      <c r="Z40" s="941">
        <v>40000000</v>
      </c>
      <c r="AA40" s="850" t="s">
        <v>1136</v>
      </c>
      <c r="AB40" s="1638">
        <f t="shared" si="16"/>
        <v>0</v>
      </c>
      <c r="AC40" s="1634">
        <f t="shared" si="7"/>
        <v>0</v>
      </c>
      <c r="AD40" s="1639">
        <v>0</v>
      </c>
      <c r="AE40" s="1634" t="s">
        <v>1090</v>
      </c>
      <c r="AF40" s="1634">
        <f t="shared" si="17"/>
        <v>0</v>
      </c>
      <c r="AG40" s="1634">
        <f t="shared" si="18"/>
        <v>0</v>
      </c>
      <c r="AH40" s="1640">
        <v>0.05</v>
      </c>
      <c r="AI40" s="1640"/>
      <c r="AJ40" s="1640"/>
      <c r="AK40" s="1640" t="s">
        <v>1903</v>
      </c>
      <c r="AL40" s="1640"/>
      <c r="AM40" s="1740">
        <f t="shared" si="19"/>
        <v>0</v>
      </c>
      <c r="AN40" s="1731">
        <f t="shared" si="2"/>
        <v>0</v>
      </c>
      <c r="AO40" s="1730">
        <v>0</v>
      </c>
      <c r="AP40" s="1731">
        <v>0.1</v>
      </c>
      <c r="AQ40" s="1731">
        <f t="shared" si="20"/>
        <v>0</v>
      </c>
      <c r="AR40" s="1731">
        <v>0</v>
      </c>
      <c r="AS40" s="1750">
        <v>0</v>
      </c>
      <c r="AT40" s="1730"/>
      <c r="AU40" s="1730" t="s">
        <v>2228</v>
      </c>
      <c r="AV40" s="1730"/>
      <c r="AW40" s="2250">
        <f t="shared" si="21"/>
        <v>0</v>
      </c>
      <c r="AX40" s="2251">
        <f t="shared" si="4"/>
        <v>0</v>
      </c>
      <c r="AY40" s="2197">
        <v>0</v>
      </c>
      <c r="AZ40" s="2251" t="s">
        <v>1090</v>
      </c>
      <c r="BA40" s="893"/>
      <c r="BB40" s="2251">
        <v>0</v>
      </c>
      <c r="BC40" s="2310">
        <v>0</v>
      </c>
      <c r="BD40" s="2197" t="s">
        <v>1090</v>
      </c>
      <c r="BE40" s="2197" t="s">
        <v>2821</v>
      </c>
      <c r="BF40" s="893"/>
      <c r="BG40" s="2399">
        <f t="shared" si="22"/>
        <v>0</v>
      </c>
      <c r="BH40" s="2352">
        <f t="shared" si="5"/>
        <v>0</v>
      </c>
      <c r="BI40" s="2397" t="s">
        <v>1090</v>
      </c>
      <c r="BJ40" s="2352" t="s">
        <v>1090</v>
      </c>
      <c r="BK40" s="2398"/>
      <c r="BL40" s="2352">
        <v>0.1</v>
      </c>
      <c r="BM40" s="2400"/>
      <c r="BN40" s="2397"/>
      <c r="BO40" s="2397" t="s">
        <v>2821</v>
      </c>
      <c r="BP40" s="2398"/>
    </row>
    <row r="41" spans="1:68" s="842" customFormat="1" ht="102.75" thickBot="1">
      <c r="A41" s="2738"/>
      <c r="B41" s="2739"/>
      <c r="C41" s="1051" t="s">
        <v>1390</v>
      </c>
      <c r="D41" s="1187" t="s">
        <v>1625</v>
      </c>
      <c r="E41" s="887" t="s">
        <v>72</v>
      </c>
      <c r="F41" s="1049">
        <v>1</v>
      </c>
      <c r="G41" s="887" t="s">
        <v>1391</v>
      </c>
      <c r="H41" s="1005" t="s">
        <v>1624</v>
      </c>
      <c r="I41" s="1015">
        <f t="shared" si="15"/>
        <v>0.05555555555555555</v>
      </c>
      <c r="J41" s="809" t="s">
        <v>1386</v>
      </c>
      <c r="K41" s="871">
        <v>42037</v>
      </c>
      <c r="L41" s="871">
        <v>42353</v>
      </c>
      <c r="M41" s="870"/>
      <c r="N41" s="870"/>
      <c r="O41" s="870"/>
      <c r="P41" s="870"/>
      <c r="Q41" s="870"/>
      <c r="R41" s="870"/>
      <c r="S41" s="870"/>
      <c r="T41" s="870"/>
      <c r="U41" s="870"/>
      <c r="V41" s="870"/>
      <c r="W41" s="870"/>
      <c r="X41" s="870">
        <v>1</v>
      </c>
      <c r="Y41" s="995">
        <f>SUM(M41:X41)</f>
        <v>1</v>
      </c>
      <c r="Z41" s="868">
        <f>(6300000*12)/2</f>
        <v>37800000</v>
      </c>
      <c r="AA41" s="850" t="s">
        <v>1090</v>
      </c>
      <c r="AB41" s="1638">
        <f t="shared" si="16"/>
        <v>0</v>
      </c>
      <c r="AC41" s="1634">
        <f t="shared" si="7"/>
        <v>0</v>
      </c>
      <c r="AD41" s="1639">
        <v>0</v>
      </c>
      <c r="AE41" s="1634" t="s">
        <v>1090</v>
      </c>
      <c r="AF41" s="1634">
        <f t="shared" si="17"/>
        <v>0</v>
      </c>
      <c r="AG41" s="1634">
        <f t="shared" si="18"/>
        <v>0</v>
      </c>
      <c r="AH41" s="1640">
        <v>0.05</v>
      </c>
      <c r="AI41" s="1640"/>
      <c r="AJ41" s="1640"/>
      <c r="AK41" s="1640" t="s">
        <v>1903</v>
      </c>
      <c r="AL41" s="1640"/>
      <c r="AM41" s="1740">
        <f t="shared" si="19"/>
        <v>0</v>
      </c>
      <c r="AN41" s="1731">
        <f t="shared" si="2"/>
        <v>0</v>
      </c>
      <c r="AO41" s="1730">
        <v>0</v>
      </c>
      <c r="AP41" s="1731">
        <v>0.1</v>
      </c>
      <c r="AQ41" s="1731">
        <f t="shared" si="20"/>
        <v>0</v>
      </c>
      <c r="AR41" s="1731">
        <v>0</v>
      </c>
      <c r="AS41" s="1750">
        <v>0</v>
      </c>
      <c r="AT41" s="1730"/>
      <c r="AU41" s="1730" t="s">
        <v>2228</v>
      </c>
      <c r="AV41" s="1730"/>
      <c r="AW41" s="2250">
        <f t="shared" si="21"/>
        <v>0</v>
      </c>
      <c r="AX41" s="2251">
        <f t="shared" si="4"/>
        <v>0</v>
      </c>
      <c r="AY41" s="2197">
        <v>0</v>
      </c>
      <c r="AZ41" s="2251" t="s">
        <v>1090</v>
      </c>
      <c r="BA41" s="893"/>
      <c r="BB41" s="2251">
        <v>0</v>
      </c>
      <c r="BC41" s="2310">
        <v>0</v>
      </c>
      <c r="BD41" s="2197" t="s">
        <v>1090</v>
      </c>
      <c r="BE41" s="2197" t="s">
        <v>2822</v>
      </c>
      <c r="BF41" s="893"/>
      <c r="BG41" s="2399">
        <f t="shared" si="22"/>
        <v>0</v>
      </c>
      <c r="BH41" s="2352">
        <f t="shared" si="5"/>
        <v>0</v>
      </c>
      <c r="BI41" s="2397" t="s">
        <v>1090</v>
      </c>
      <c r="BJ41" s="2352" t="s">
        <v>1090</v>
      </c>
      <c r="BK41" s="2398"/>
      <c r="BL41" s="2352">
        <v>0.1</v>
      </c>
      <c r="BM41" s="2400"/>
      <c r="BN41" s="2397"/>
      <c r="BO41" s="2397" t="s">
        <v>2822</v>
      </c>
      <c r="BP41" s="2398"/>
    </row>
    <row r="42" spans="1:68" s="842" customFormat="1" ht="77.25" thickBot="1">
      <c r="A42" s="2738"/>
      <c r="B42" s="2739"/>
      <c r="C42" s="2743" t="s">
        <v>1178</v>
      </c>
      <c r="D42" s="1188" t="s">
        <v>1516</v>
      </c>
      <c r="E42" s="1046" t="s">
        <v>72</v>
      </c>
      <c r="F42" s="1047">
        <v>1</v>
      </c>
      <c r="G42" s="1046" t="s">
        <v>174</v>
      </c>
      <c r="H42" s="1045" t="s">
        <v>1517</v>
      </c>
      <c r="I42" s="1015">
        <f t="shared" si="15"/>
        <v>0.05555555555555555</v>
      </c>
      <c r="J42" s="1044" t="s">
        <v>1518</v>
      </c>
      <c r="K42" s="1043">
        <v>42058</v>
      </c>
      <c r="L42" s="1043">
        <v>42369</v>
      </c>
      <c r="M42" s="1042"/>
      <c r="N42" s="1042"/>
      <c r="O42" s="1042"/>
      <c r="P42" s="1042"/>
      <c r="Q42" s="1042"/>
      <c r="R42" s="1042"/>
      <c r="S42" s="1042"/>
      <c r="T42" s="1042"/>
      <c r="U42" s="1042"/>
      <c r="V42" s="1042"/>
      <c r="W42" s="1042"/>
      <c r="X42" s="1042">
        <v>1</v>
      </c>
      <c r="Y42" s="1041">
        <v>1</v>
      </c>
      <c r="Z42" s="1040">
        <v>0</v>
      </c>
      <c r="AA42" s="1039" t="s">
        <v>1090</v>
      </c>
      <c r="AB42" s="1638">
        <f t="shared" si="16"/>
        <v>0</v>
      </c>
      <c r="AC42" s="1634">
        <f t="shared" si="7"/>
        <v>0</v>
      </c>
      <c r="AD42" s="1639">
        <v>0</v>
      </c>
      <c r="AE42" s="1634" t="s">
        <v>1090</v>
      </c>
      <c r="AF42" s="1634">
        <f t="shared" si="17"/>
        <v>0</v>
      </c>
      <c r="AG42" s="1634">
        <f t="shared" si="18"/>
        <v>0</v>
      </c>
      <c r="AH42" s="1640">
        <v>0.5</v>
      </c>
      <c r="AI42" s="1640"/>
      <c r="AJ42" s="1640"/>
      <c r="AK42" s="1640" t="s">
        <v>1904</v>
      </c>
      <c r="AL42" s="1640"/>
      <c r="AM42" s="1740">
        <f t="shared" si="19"/>
        <v>0</v>
      </c>
      <c r="AN42" s="1731">
        <f t="shared" si="2"/>
        <v>0</v>
      </c>
      <c r="AO42" s="1730">
        <v>0</v>
      </c>
      <c r="AP42" s="1731">
        <v>1</v>
      </c>
      <c r="AQ42" s="1731">
        <f t="shared" si="20"/>
        <v>0</v>
      </c>
      <c r="AR42" s="1731">
        <v>0</v>
      </c>
      <c r="AS42" s="1750">
        <v>0</v>
      </c>
      <c r="AT42" s="1730"/>
      <c r="AU42" s="1730" t="s">
        <v>2229</v>
      </c>
      <c r="AV42" s="1730"/>
      <c r="AW42" s="2250">
        <f t="shared" si="21"/>
        <v>0</v>
      </c>
      <c r="AX42" s="2251">
        <f t="shared" si="4"/>
        <v>0</v>
      </c>
      <c r="AY42" s="2197">
        <v>0</v>
      </c>
      <c r="AZ42" s="2251" t="s">
        <v>1090</v>
      </c>
      <c r="BA42" s="893"/>
      <c r="BB42" s="2251">
        <v>0</v>
      </c>
      <c r="BC42" s="2310">
        <v>0</v>
      </c>
      <c r="BD42" s="2197" t="s">
        <v>1090</v>
      </c>
      <c r="BE42" s="2197" t="s">
        <v>2229</v>
      </c>
      <c r="BF42" s="893"/>
      <c r="BG42" s="2399">
        <f t="shared" si="22"/>
        <v>0</v>
      </c>
      <c r="BH42" s="2352">
        <f t="shared" si="5"/>
        <v>0</v>
      </c>
      <c r="BI42" s="2397" t="s">
        <v>1090</v>
      </c>
      <c r="BJ42" s="2352" t="s">
        <v>1090</v>
      </c>
      <c r="BK42" s="2398"/>
      <c r="BL42" s="2352">
        <v>1</v>
      </c>
      <c r="BM42" s="2400"/>
      <c r="BN42" s="2397"/>
      <c r="BO42" s="2397" t="s">
        <v>2229</v>
      </c>
      <c r="BP42" s="2398"/>
    </row>
    <row r="43" spans="1:68" s="842" customFormat="1" ht="51.75" thickBot="1">
      <c r="A43" s="2738"/>
      <c r="B43" s="2739"/>
      <c r="C43" s="2744"/>
      <c r="D43" s="2741" t="s">
        <v>1519</v>
      </c>
      <c r="E43" s="1046" t="s">
        <v>1066</v>
      </c>
      <c r="F43" s="1047">
        <v>1</v>
      </c>
      <c r="G43" s="1046" t="s">
        <v>1520</v>
      </c>
      <c r="H43" s="1045" t="s">
        <v>1521</v>
      </c>
      <c r="I43" s="1015">
        <f t="shared" si="15"/>
        <v>0.05555555555555555</v>
      </c>
      <c r="J43" s="1044" t="s">
        <v>1522</v>
      </c>
      <c r="K43" s="1043">
        <v>42186</v>
      </c>
      <c r="L43" s="1043">
        <v>42369</v>
      </c>
      <c r="M43" s="1042"/>
      <c r="N43" s="1042"/>
      <c r="O43" s="1042"/>
      <c r="P43" s="1042"/>
      <c r="Q43" s="1042"/>
      <c r="R43" s="1042"/>
      <c r="S43" s="1042">
        <v>1</v>
      </c>
      <c r="T43" s="1042"/>
      <c r="U43" s="1042"/>
      <c r="V43" s="1042"/>
      <c r="W43" s="1042"/>
      <c r="X43" s="1042"/>
      <c r="Y43" s="1041">
        <v>1</v>
      </c>
      <c r="Z43" s="1040">
        <v>0</v>
      </c>
      <c r="AA43" s="1039"/>
      <c r="AB43" s="1638">
        <f t="shared" si="16"/>
        <v>0</v>
      </c>
      <c r="AC43" s="1634">
        <f t="shared" si="7"/>
        <v>0</v>
      </c>
      <c r="AD43" s="1639">
        <v>0</v>
      </c>
      <c r="AE43" s="1634" t="s">
        <v>1090</v>
      </c>
      <c r="AF43" s="1634">
        <f t="shared" si="17"/>
        <v>0</v>
      </c>
      <c r="AG43" s="1634">
        <f t="shared" si="18"/>
        <v>0</v>
      </c>
      <c r="AH43" s="1640"/>
      <c r="AI43" s="1640"/>
      <c r="AJ43" s="1640"/>
      <c r="AK43" s="1640"/>
      <c r="AL43" s="1640"/>
      <c r="AM43" s="1740">
        <f t="shared" si="19"/>
        <v>0</v>
      </c>
      <c r="AN43" s="1731">
        <f t="shared" si="2"/>
        <v>0</v>
      </c>
      <c r="AO43" s="1730">
        <v>0</v>
      </c>
      <c r="AP43" s="1731">
        <v>1</v>
      </c>
      <c r="AQ43" s="1731">
        <f t="shared" si="20"/>
        <v>0</v>
      </c>
      <c r="AR43" s="1731">
        <v>0</v>
      </c>
      <c r="AS43" s="1750">
        <v>0</v>
      </c>
      <c r="AT43" s="1730"/>
      <c r="AU43" s="1730" t="s">
        <v>2230</v>
      </c>
      <c r="AV43" s="1730"/>
      <c r="AW43" s="2250">
        <f t="shared" si="21"/>
        <v>0</v>
      </c>
      <c r="AX43" s="2251">
        <f t="shared" si="4"/>
        <v>0</v>
      </c>
      <c r="AY43" s="2197">
        <v>0</v>
      </c>
      <c r="AZ43" s="2251" t="s">
        <v>1090</v>
      </c>
      <c r="BA43" s="893"/>
      <c r="BB43" s="2251">
        <v>0</v>
      </c>
      <c r="BC43" s="2310">
        <v>0</v>
      </c>
      <c r="BD43" s="2197" t="s">
        <v>1090</v>
      </c>
      <c r="BE43" s="2197" t="s">
        <v>2230</v>
      </c>
      <c r="BF43" s="893"/>
      <c r="BG43" s="2399">
        <f t="shared" si="22"/>
        <v>1</v>
      </c>
      <c r="BH43" s="2352">
        <f t="shared" si="5"/>
        <v>1</v>
      </c>
      <c r="BI43" s="2401">
        <v>1</v>
      </c>
      <c r="BJ43" s="2352">
        <v>1</v>
      </c>
      <c r="BK43" s="2398"/>
      <c r="BL43" s="2352">
        <v>1</v>
      </c>
      <c r="BM43" s="2400"/>
      <c r="BN43" s="2397"/>
      <c r="BO43" s="2397" t="s">
        <v>2230</v>
      </c>
      <c r="BP43" s="2398"/>
    </row>
    <row r="44" spans="1:68" s="842" customFormat="1" ht="51.75" thickBot="1">
      <c r="A44" s="2738"/>
      <c r="B44" s="2739"/>
      <c r="C44" s="2745"/>
      <c r="D44" s="2742"/>
      <c r="E44" s="1046" t="s">
        <v>136</v>
      </c>
      <c r="F44" s="1047">
        <v>1</v>
      </c>
      <c r="G44" s="1046" t="s">
        <v>1523</v>
      </c>
      <c r="H44" s="1045" t="s">
        <v>1521</v>
      </c>
      <c r="I44" s="1015">
        <f t="shared" si="15"/>
        <v>0.05555555555555555</v>
      </c>
      <c r="J44" s="1044" t="s">
        <v>1524</v>
      </c>
      <c r="K44" s="1043">
        <v>42186</v>
      </c>
      <c r="L44" s="1043">
        <v>42369</v>
      </c>
      <c r="M44" s="1042"/>
      <c r="N44" s="1042"/>
      <c r="O44" s="1042"/>
      <c r="P44" s="1042"/>
      <c r="Q44" s="1042"/>
      <c r="R44" s="1042"/>
      <c r="S44" s="1042"/>
      <c r="T44" s="1042"/>
      <c r="U44" s="1042"/>
      <c r="V44" s="1042"/>
      <c r="W44" s="1042"/>
      <c r="X44" s="1042">
        <v>1</v>
      </c>
      <c r="Y44" s="1041">
        <v>1</v>
      </c>
      <c r="Z44" s="1040">
        <v>0</v>
      </c>
      <c r="AA44" s="1039"/>
      <c r="AB44" s="1638">
        <f t="shared" si="16"/>
        <v>0</v>
      </c>
      <c r="AC44" s="1634">
        <f t="shared" si="7"/>
        <v>0</v>
      </c>
      <c r="AD44" s="1639">
        <v>0</v>
      </c>
      <c r="AE44" s="1634" t="s">
        <v>1090</v>
      </c>
      <c r="AF44" s="1634">
        <f t="shared" si="17"/>
        <v>0</v>
      </c>
      <c r="AG44" s="1634">
        <f t="shared" si="18"/>
        <v>0</v>
      </c>
      <c r="AH44" s="1640"/>
      <c r="AI44" s="1640"/>
      <c r="AJ44" s="1640"/>
      <c r="AK44" s="1640"/>
      <c r="AL44" s="1640"/>
      <c r="AM44" s="1740">
        <f t="shared" si="19"/>
        <v>0</v>
      </c>
      <c r="AN44" s="1731">
        <f t="shared" si="2"/>
        <v>0</v>
      </c>
      <c r="AO44" s="1730">
        <v>0</v>
      </c>
      <c r="AP44" s="1731">
        <v>1</v>
      </c>
      <c r="AQ44" s="1731">
        <f t="shared" si="20"/>
        <v>0</v>
      </c>
      <c r="AR44" s="1731">
        <v>0</v>
      </c>
      <c r="AS44" s="1750">
        <v>0</v>
      </c>
      <c r="AT44" s="1730"/>
      <c r="AU44" s="1730" t="s">
        <v>2230</v>
      </c>
      <c r="AV44" s="1730"/>
      <c r="AW44" s="2250">
        <f t="shared" si="21"/>
        <v>0</v>
      </c>
      <c r="AX44" s="2251">
        <f t="shared" si="4"/>
        <v>0</v>
      </c>
      <c r="AY44" s="2197">
        <v>0</v>
      </c>
      <c r="AZ44" s="2251" t="s">
        <v>1090</v>
      </c>
      <c r="BA44" s="893"/>
      <c r="BB44" s="2251">
        <v>0</v>
      </c>
      <c r="BC44" s="2310">
        <v>0</v>
      </c>
      <c r="BD44" s="2197" t="s">
        <v>1090</v>
      </c>
      <c r="BE44" s="2197" t="s">
        <v>2230</v>
      </c>
      <c r="BF44" s="893"/>
      <c r="BG44" s="2399">
        <f t="shared" si="22"/>
        <v>0</v>
      </c>
      <c r="BH44" s="2352">
        <f t="shared" si="5"/>
        <v>0</v>
      </c>
      <c r="BI44" s="2397" t="s">
        <v>1090</v>
      </c>
      <c r="BJ44" s="2352" t="s">
        <v>1090</v>
      </c>
      <c r="BK44" s="2398"/>
      <c r="BL44" s="2352">
        <v>1</v>
      </c>
      <c r="BM44" s="2400"/>
      <c r="BN44" s="2397"/>
      <c r="BO44" s="2397" t="s">
        <v>2230</v>
      </c>
      <c r="BP44" s="2398"/>
    </row>
    <row r="45" spans="1:68" s="842" customFormat="1" ht="20.1" customHeight="1" thickBot="1">
      <c r="A45" s="2556" t="s">
        <v>130</v>
      </c>
      <c r="B45" s="2556"/>
      <c r="C45" s="2556"/>
      <c r="D45" s="2748"/>
      <c r="E45" s="848"/>
      <c r="F45" s="848"/>
      <c r="G45" s="848"/>
      <c r="H45" s="848"/>
      <c r="I45" s="866">
        <f>SUM(I28:I44)</f>
        <v>0.9444444444444448</v>
      </c>
      <c r="J45" s="848"/>
      <c r="K45" s="848"/>
      <c r="L45" s="848"/>
      <c r="M45" s="848"/>
      <c r="N45" s="848"/>
      <c r="O45" s="848"/>
      <c r="P45" s="848"/>
      <c r="Q45" s="848"/>
      <c r="R45" s="848"/>
      <c r="S45" s="848"/>
      <c r="T45" s="848"/>
      <c r="U45" s="848"/>
      <c r="V45" s="848"/>
      <c r="W45" s="848"/>
      <c r="X45" s="848"/>
      <c r="Y45" s="848"/>
      <c r="Z45" s="1013">
        <f>SUM(Z28:Z44)</f>
        <v>138238628</v>
      </c>
      <c r="AA45" s="846"/>
      <c r="AB45" s="1531"/>
      <c r="AC45" s="1532" t="s">
        <v>1090</v>
      </c>
      <c r="AD45" s="1533"/>
      <c r="AE45" s="1532" t="s">
        <v>1090</v>
      </c>
      <c r="AF45" s="1532"/>
      <c r="AG45" s="1532">
        <f>AVERAGE(AG28:AG44)</f>
        <v>0</v>
      </c>
      <c r="AH45" s="844"/>
      <c r="AI45" s="844"/>
      <c r="AJ45" s="844"/>
      <c r="AK45" s="844"/>
      <c r="AL45" s="844"/>
      <c r="AM45" s="1732"/>
      <c r="AN45" s="1868">
        <v>1</v>
      </c>
      <c r="AO45" s="1732"/>
      <c r="AP45" s="1872">
        <f>AVERAGE(AP28:AP44)</f>
        <v>0.4470588235294117</v>
      </c>
      <c r="AQ45" s="1872"/>
      <c r="AR45" s="1872">
        <f>AVERAGE(AR28:AR44)</f>
        <v>0.0625</v>
      </c>
      <c r="AS45" s="1732"/>
      <c r="AT45" s="1732"/>
      <c r="AU45" s="1732"/>
      <c r="AV45" s="1732"/>
      <c r="AW45" s="2249"/>
      <c r="AX45" s="2252">
        <v>1</v>
      </c>
      <c r="AY45" s="844"/>
      <c r="AZ45" s="2255">
        <f>AVERAGE(AZ28:AZ44)</f>
        <v>0.75</v>
      </c>
      <c r="BA45" s="844"/>
      <c r="BB45" s="2264">
        <f>AVERAGE(BB28:BB44)</f>
        <v>0.08333333333333333</v>
      </c>
      <c r="BC45" s="844"/>
      <c r="BD45" s="844"/>
      <c r="BE45" s="844"/>
      <c r="BF45" s="844"/>
      <c r="BG45" s="2249"/>
      <c r="BH45" s="2252">
        <v>1</v>
      </c>
      <c r="BI45" s="844"/>
      <c r="BJ45" s="2447">
        <f>AVERAGE(BJ28:BJ44)</f>
        <v>0.8</v>
      </c>
      <c r="BK45" s="2445"/>
      <c r="BL45" s="2446">
        <f>AVERAGE(BL28:BL44)</f>
        <v>0.4958333333333333</v>
      </c>
      <c r="BM45" s="844"/>
      <c r="BN45" s="844"/>
      <c r="BO45" s="844"/>
      <c r="BP45" s="844"/>
    </row>
    <row r="46" spans="1:68" s="842" customFormat="1" ht="64.5" customHeight="1" thickBot="1">
      <c r="A46" s="2749">
        <v>3</v>
      </c>
      <c r="B46" s="2750" t="s">
        <v>1623</v>
      </c>
      <c r="C46" s="2751" t="s">
        <v>1392</v>
      </c>
      <c r="D46" s="1038" t="s">
        <v>1393</v>
      </c>
      <c r="E46" s="1037" t="s">
        <v>72</v>
      </c>
      <c r="F46" s="1036">
        <v>1</v>
      </c>
      <c r="G46" s="1035" t="s">
        <v>811</v>
      </c>
      <c r="H46" s="1005" t="s">
        <v>1618</v>
      </c>
      <c r="I46" s="1015">
        <f>1/11</f>
        <v>0.09090909090909091</v>
      </c>
      <c r="J46" s="1034" t="s">
        <v>1394</v>
      </c>
      <c r="K46" s="1033">
        <v>42037</v>
      </c>
      <c r="L46" s="1033">
        <v>42185</v>
      </c>
      <c r="M46" s="961"/>
      <c r="N46" s="961"/>
      <c r="O46" s="961"/>
      <c r="P46" s="961"/>
      <c r="Q46" s="961"/>
      <c r="R46" s="961">
        <v>1</v>
      </c>
      <c r="S46" s="961"/>
      <c r="T46" s="961"/>
      <c r="U46" s="961"/>
      <c r="V46" s="961"/>
      <c r="W46" s="961"/>
      <c r="X46" s="961"/>
      <c r="Y46" s="1032">
        <f>SUM(M46:X46)</f>
        <v>1</v>
      </c>
      <c r="Z46" s="917">
        <f>0</f>
        <v>0</v>
      </c>
      <c r="AA46" s="850" t="s">
        <v>1090</v>
      </c>
      <c r="AB46" s="1638">
        <f>SUM(M46:N46)</f>
        <v>0</v>
      </c>
      <c r="AC46" s="1634">
        <f t="shared" si="7"/>
        <v>0</v>
      </c>
      <c r="AD46" s="1639">
        <v>0</v>
      </c>
      <c r="AE46" s="1634" t="s">
        <v>1090</v>
      </c>
      <c r="AF46" s="1634">
        <f>AD46/Y46</f>
        <v>0</v>
      </c>
      <c r="AG46" s="1634">
        <f>AF46</f>
        <v>0</v>
      </c>
      <c r="AH46" s="1640">
        <v>0.3</v>
      </c>
      <c r="AI46" s="1640"/>
      <c r="AJ46" s="1640"/>
      <c r="AK46" s="1640" t="s">
        <v>1905</v>
      </c>
      <c r="AL46" s="1640"/>
      <c r="AM46" s="1739">
        <f>SUM(M46:P46)</f>
        <v>0</v>
      </c>
      <c r="AN46" s="1731">
        <f t="shared" si="2"/>
        <v>0</v>
      </c>
      <c r="AO46" s="1730">
        <v>0</v>
      </c>
      <c r="AP46" s="1731">
        <v>0.5</v>
      </c>
      <c r="AQ46" s="1731">
        <f>AO46/Y46</f>
        <v>0</v>
      </c>
      <c r="AR46" s="1731">
        <v>0</v>
      </c>
      <c r="AS46" s="1750">
        <v>0</v>
      </c>
      <c r="AT46" s="1730"/>
      <c r="AU46" s="1730" t="s">
        <v>1394</v>
      </c>
      <c r="AV46" s="1730"/>
      <c r="AW46" s="2250">
        <f>SUM(M46:R46)</f>
        <v>1</v>
      </c>
      <c r="AX46" s="2251">
        <f t="shared" si="4"/>
        <v>1</v>
      </c>
      <c r="AY46" s="2197">
        <v>0</v>
      </c>
      <c r="AZ46" s="2195">
        <v>0</v>
      </c>
      <c r="BA46" s="893"/>
      <c r="BB46" s="2251">
        <v>0</v>
      </c>
      <c r="BC46" s="2303">
        <v>0</v>
      </c>
      <c r="BD46" s="2268" t="s">
        <v>1090</v>
      </c>
      <c r="BE46" s="2197" t="s">
        <v>1394</v>
      </c>
      <c r="BF46" s="893"/>
      <c r="BG46" s="2399">
        <f>SUM(M46:T46)</f>
        <v>1</v>
      </c>
      <c r="BH46" s="2352">
        <f t="shared" si="5"/>
        <v>1</v>
      </c>
      <c r="BI46" s="2397">
        <v>0</v>
      </c>
      <c r="BJ46" s="2402">
        <v>0</v>
      </c>
      <c r="BK46" s="2398"/>
      <c r="BL46" s="2352">
        <v>0</v>
      </c>
      <c r="BM46" s="2353"/>
      <c r="BN46" s="2351"/>
      <c r="BO46" s="2397" t="s">
        <v>1394</v>
      </c>
      <c r="BP46" s="2398"/>
    </row>
    <row r="47" spans="1:68" s="842" customFormat="1" ht="77.25" thickBot="1">
      <c r="A47" s="2749"/>
      <c r="B47" s="2750"/>
      <c r="C47" s="2519"/>
      <c r="D47" s="1000" t="s">
        <v>1395</v>
      </c>
      <c r="E47" s="1016" t="s">
        <v>1622</v>
      </c>
      <c r="F47" s="1031">
        <v>4</v>
      </c>
      <c r="G47" s="1030" t="s">
        <v>1396</v>
      </c>
      <c r="H47" s="1029" t="s">
        <v>1618</v>
      </c>
      <c r="I47" s="1028">
        <f>1/11</f>
        <v>0.09090909090909091</v>
      </c>
      <c r="J47" s="1027" t="s">
        <v>1397</v>
      </c>
      <c r="K47" s="1003">
        <v>42005</v>
      </c>
      <c r="L47" s="1003">
        <v>42353</v>
      </c>
      <c r="M47" s="932"/>
      <c r="N47" s="932"/>
      <c r="O47" s="932"/>
      <c r="P47" s="932"/>
      <c r="Q47" s="932"/>
      <c r="R47" s="932">
        <v>2</v>
      </c>
      <c r="S47" s="932"/>
      <c r="T47" s="932"/>
      <c r="U47" s="932"/>
      <c r="V47" s="932"/>
      <c r="W47" s="932"/>
      <c r="X47" s="932">
        <v>2</v>
      </c>
      <c r="Y47" s="1026">
        <f>SUM(M47:X47)</f>
        <v>4</v>
      </c>
      <c r="Z47" s="1025">
        <v>2000000000</v>
      </c>
      <c r="AA47" s="850" t="s">
        <v>1090</v>
      </c>
      <c r="AB47" s="1638">
        <f aca="true" t="shared" si="23" ref="AB47:AB56">SUM(M47:N47)</f>
        <v>0</v>
      </c>
      <c r="AC47" s="1634">
        <f t="shared" si="7"/>
        <v>0</v>
      </c>
      <c r="AD47" s="1639">
        <v>0</v>
      </c>
      <c r="AE47" s="1634" t="s">
        <v>1090</v>
      </c>
      <c r="AF47" s="1634">
        <f aca="true" t="shared" si="24" ref="AF47:AF56">AD47/Y47</f>
        <v>0</v>
      </c>
      <c r="AG47" s="1634">
        <f aca="true" t="shared" si="25" ref="AG47:AG56">AF47</f>
        <v>0</v>
      </c>
      <c r="AH47" s="1640">
        <v>0.4</v>
      </c>
      <c r="AI47" s="1640"/>
      <c r="AJ47" s="1640"/>
      <c r="AK47" s="1640" t="s">
        <v>1906</v>
      </c>
      <c r="AL47" s="1640"/>
      <c r="AM47" s="1739">
        <f aca="true" t="shared" si="26" ref="AM47:AM56">SUM(M47:P47)</f>
        <v>0</v>
      </c>
      <c r="AN47" s="1731">
        <f t="shared" si="2"/>
        <v>0</v>
      </c>
      <c r="AO47" s="1730">
        <v>0</v>
      </c>
      <c r="AP47" s="1731">
        <v>0.4</v>
      </c>
      <c r="AQ47" s="1731">
        <f aca="true" t="shared" si="27" ref="AQ47:AQ56">AO47/Y47</f>
        <v>0</v>
      </c>
      <c r="AR47" s="1731">
        <v>0</v>
      </c>
      <c r="AS47" s="1750">
        <v>0</v>
      </c>
      <c r="AT47" s="1730"/>
      <c r="AU47" s="1730" t="s">
        <v>2231</v>
      </c>
      <c r="AV47" s="1730"/>
      <c r="AW47" s="2250">
        <f aca="true" t="shared" si="28" ref="AW47:AW56">SUM(M47:R47)</f>
        <v>2</v>
      </c>
      <c r="AX47" s="2251">
        <f t="shared" si="4"/>
        <v>1</v>
      </c>
      <c r="AY47" s="2197" t="s">
        <v>1090</v>
      </c>
      <c r="AZ47" s="2195" t="s">
        <v>1090</v>
      </c>
      <c r="BA47" s="893"/>
      <c r="BB47" s="2251" t="s">
        <v>1090</v>
      </c>
      <c r="BC47" s="2303">
        <v>0</v>
      </c>
      <c r="BD47" s="2268" t="s">
        <v>1090</v>
      </c>
      <c r="BE47" s="2197" t="s">
        <v>2824</v>
      </c>
      <c r="BF47" s="893"/>
      <c r="BG47" s="2399">
        <f aca="true" t="shared" si="29" ref="BG47:BG56">SUM(M47:T47)</f>
        <v>2</v>
      </c>
      <c r="BH47" s="2352">
        <f t="shared" si="5"/>
        <v>1</v>
      </c>
      <c r="BI47" s="2397">
        <v>0</v>
      </c>
      <c r="BJ47" s="2402">
        <v>0</v>
      </c>
      <c r="BK47" s="2398"/>
      <c r="BL47" s="2352">
        <v>0</v>
      </c>
      <c r="BM47" s="2353"/>
      <c r="BN47" s="2351"/>
      <c r="BO47" s="2397" t="s">
        <v>2824</v>
      </c>
      <c r="BP47" s="2398"/>
    </row>
    <row r="48" spans="1:68" s="842" customFormat="1" ht="39" thickBot="1">
      <c r="A48" s="2749"/>
      <c r="B48" s="2750"/>
      <c r="C48" s="2519"/>
      <c r="D48" s="1024" t="s">
        <v>1621</v>
      </c>
      <c r="E48" s="1023" t="s">
        <v>1620</v>
      </c>
      <c r="F48" s="1023">
        <v>1</v>
      </c>
      <c r="G48" s="1023" t="s">
        <v>1619</v>
      </c>
      <c r="H48" s="1022" t="s">
        <v>1618</v>
      </c>
      <c r="I48" s="939">
        <v>0.09</v>
      </c>
      <c r="J48" s="1021" t="s">
        <v>1617</v>
      </c>
      <c r="K48" s="937">
        <v>42036</v>
      </c>
      <c r="L48" s="937">
        <v>42185</v>
      </c>
      <c r="M48" s="967"/>
      <c r="N48" s="967"/>
      <c r="O48" s="967"/>
      <c r="P48" s="967"/>
      <c r="Q48" s="967"/>
      <c r="R48" s="967">
        <v>1</v>
      </c>
      <c r="S48" s="967"/>
      <c r="T48" s="973"/>
      <c r="U48" s="973"/>
      <c r="V48" s="967"/>
      <c r="W48" s="967"/>
      <c r="X48" s="967"/>
      <c r="Y48" s="962">
        <f>SUM(M48:X48)</f>
        <v>1</v>
      </c>
      <c r="Z48" s="868">
        <v>14844375000</v>
      </c>
      <c r="AA48" s="850"/>
      <c r="AB48" s="1638">
        <f t="shared" si="23"/>
        <v>0</v>
      </c>
      <c r="AC48" s="1634">
        <f t="shared" si="7"/>
        <v>0</v>
      </c>
      <c r="AD48" s="1639">
        <v>0</v>
      </c>
      <c r="AE48" s="1634" t="s">
        <v>1090</v>
      </c>
      <c r="AF48" s="1634">
        <f t="shared" si="24"/>
        <v>0</v>
      </c>
      <c r="AG48" s="1634">
        <f t="shared" si="25"/>
        <v>0</v>
      </c>
      <c r="AH48" s="1640">
        <v>0.8</v>
      </c>
      <c r="AI48" s="1640"/>
      <c r="AJ48" s="1640"/>
      <c r="AK48" s="1640" t="s">
        <v>1907</v>
      </c>
      <c r="AL48" s="1640"/>
      <c r="AM48" s="1739">
        <f t="shared" si="26"/>
        <v>0</v>
      </c>
      <c r="AN48" s="1731">
        <f t="shared" si="2"/>
        <v>0</v>
      </c>
      <c r="AO48" s="1730">
        <v>0</v>
      </c>
      <c r="AP48" s="1731">
        <v>0.9</v>
      </c>
      <c r="AQ48" s="1731">
        <f t="shared" si="27"/>
        <v>0</v>
      </c>
      <c r="AR48" s="1731">
        <v>0</v>
      </c>
      <c r="AS48" s="1750">
        <v>0</v>
      </c>
      <c r="AT48" s="1730"/>
      <c r="AU48" s="1730" t="s">
        <v>1617</v>
      </c>
      <c r="AV48" s="1730"/>
      <c r="AW48" s="2250">
        <f t="shared" si="28"/>
        <v>1</v>
      </c>
      <c r="AX48" s="2251">
        <f t="shared" si="4"/>
        <v>1</v>
      </c>
      <c r="AY48" s="2197">
        <v>1</v>
      </c>
      <c r="AZ48" s="2195">
        <v>1</v>
      </c>
      <c r="BA48" s="893"/>
      <c r="BB48" s="2251">
        <v>1</v>
      </c>
      <c r="BC48" s="2303">
        <v>0</v>
      </c>
      <c r="BD48" s="2268" t="s">
        <v>1090</v>
      </c>
      <c r="BE48" s="2197" t="s">
        <v>2825</v>
      </c>
      <c r="BF48" s="893"/>
      <c r="BG48" s="2399">
        <f t="shared" si="29"/>
        <v>1</v>
      </c>
      <c r="BH48" s="2352">
        <f t="shared" si="5"/>
        <v>1</v>
      </c>
      <c r="BI48" s="2397">
        <v>1</v>
      </c>
      <c r="BJ48" s="2402">
        <v>1</v>
      </c>
      <c r="BK48" s="2398"/>
      <c r="BL48" s="2352">
        <v>1</v>
      </c>
      <c r="BM48" s="2353"/>
      <c r="BN48" s="2351"/>
      <c r="BO48" s="2397" t="s">
        <v>2825</v>
      </c>
      <c r="BP48" s="2398"/>
    </row>
    <row r="49" spans="1:68" s="842" customFormat="1" ht="66.75" customHeight="1" thickBot="1">
      <c r="A49" s="2749"/>
      <c r="B49" s="2750"/>
      <c r="C49" s="2519"/>
      <c r="D49" s="2752" t="s">
        <v>1398</v>
      </c>
      <c r="E49" s="1016" t="s">
        <v>1399</v>
      </c>
      <c r="F49" s="1020">
        <v>4</v>
      </c>
      <c r="G49" s="1016" t="s">
        <v>1400</v>
      </c>
      <c r="H49" s="1005" t="s">
        <v>1401</v>
      </c>
      <c r="I49" s="1015">
        <f aca="true" t="shared" si="30" ref="I49:I56">1/11</f>
        <v>0.09090909090909091</v>
      </c>
      <c r="J49" s="1014" t="s">
        <v>1397</v>
      </c>
      <c r="K49" s="1003">
        <v>42064</v>
      </c>
      <c r="L49" s="1003">
        <v>42338</v>
      </c>
      <c r="M49" s="932"/>
      <c r="N49" s="932"/>
      <c r="O49" s="932"/>
      <c r="P49" s="932"/>
      <c r="Q49" s="932"/>
      <c r="R49" s="932"/>
      <c r="S49" s="932">
        <v>1</v>
      </c>
      <c r="T49" s="932">
        <v>1</v>
      </c>
      <c r="U49" s="932">
        <v>1</v>
      </c>
      <c r="V49" s="932">
        <v>1</v>
      </c>
      <c r="W49" s="932"/>
      <c r="X49" s="932"/>
      <c r="Y49" s="995">
        <v>4</v>
      </c>
      <c r="Z49" s="917">
        <v>600000000</v>
      </c>
      <c r="AA49" s="850" t="s">
        <v>1090</v>
      </c>
      <c r="AB49" s="1638">
        <f t="shared" si="23"/>
        <v>0</v>
      </c>
      <c r="AC49" s="1634">
        <f t="shared" si="7"/>
        <v>0</v>
      </c>
      <c r="AD49" s="1639">
        <v>0</v>
      </c>
      <c r="AE49" s="1634" t="s">
        <v>1090</v>
      </c>
      <c r="AF49" s="1634">
        <f t="shared" si="24"/>
        <v>0</v>
      </c>
      <c r="AG49" s="1634">
        <f t="shared" si="25"/>
        <v>0</v>
      </c>
      <c r="AH49" s="1640">
        <v>0.15</v>
      </c>
      <c r="AI49" s="1640"/>
      <c r="AJ49" s="1640"/>
      <c r="AK49" s="1640" t="s">
        <v>1908</v>
      </c>
      <c r="AL49" s="1640"/>
      <c r="AM49" s="1739">
        <f t="shared" si="26"/>
        <v>0</v>
      </c>
      <c r="AN49" s="1731">
        <f t="shared" si="2"/>
        <v>0</v>
      </c>
      <c r="AO49" s="1730">
        <v>0</v>
      </c>
      <c r="AP49" s="1731">
        <v>0.15</v>
      </c>
      <c r="AQ49" s="1731">
        <f t="shared" si="27"/>
        <v>0</v>
      </c>
      <c r="AR49" s="1731">
        <v>0</v>
      </c>
      <c r="AS49" s="1750">
        <v>0</v>
      </c>
      <c r="AT49" s="1730"/>
      <c r="AU49" s="1730" t="s">
        <v>2232</v>
      </c>
      <c r="AV49" s="1730"/>
      <c r="AW49" s="2250">
        <f t="shared" si="28"/>
        <v>0</v>
      </c>
      <c r="AX49" s="2251">
        <f t="shared" si="4"/>
        <v>0</v>
      </c>
      <c r="AY49" s="2197">
        <v>0</v>
      </c>
      <c r="AZ49" s="2195" t="s">
        <v>1090</v>
      </c>
      <c r="BA49" s="893"/>
      <c r="BB49" s="2251">
        <v>0</v>
      </c>
      <c r="BC49" s="2303">
        <v>0</v>
      </c>
      <c r="BD49" s="2268" t="s">
        <v>1090</v>
      </c>
      <c r="BE49" s="2197" t="s">
        <v>2232</v>
      </c>
      <c r="BF49" s="893"/>
      <c r="BG49" s="2399">
        <f t="shared" si="29"/>
        <v>2</v>
      </c>
      <c r="BH49" s="2352">
        <f t="shared" si="5"/>
        <v>1</v>
      </c>
      <c r="BI49" s="2397">
        <v>0</v>
      </c>
      <c r="BJ49" s="2402">
        <v>0</v>
      </c>
      <c r="BK49" s="2398"/>
      <c r="BL49" s="2352">
        <v>0</v>
      </c>
      <c r="BM49" s="2353"/>
      <c r="BN49" s="2351"/>
      <c r="BO49" s="2397" t="s">
        <v>2232</v>
      </c>
      <c r="BP49" s="2398"/>
    </row>
    <row r="50" spans="1:68" s="842" customFormat="1" ht="64.5" thickBot="1">
      <c r="A50" s="2749"/>
      <c r="B50" s="2750"/>
      <c r="C50" s="2519"/>
      <c r="D50" s="2752"/>
      <c r="E50" s="1016" t="s">
        <v>1402</v>
      </c>
      <c r="F50" s="1020">
        <v>10</v>
      </c>
      <c r="G50" s="1016" t="s">
        <v>1403</v>
      </c>
      <c r="H50" s="1005" t="s">
        <v>1404</v>
      </c>
      <c r="I50" s="1015">
        <f t="shared" si="30"/>
        <v>0.09090909090909091</v>
      </c>
      <c r="J50" s="1014" t="s">
        <v>1405</v>
      </c>
      <c r="K50" s="1003">
        <v>42037</v>
      </c>
      <c r="L50" s="1003">
        <v>42307</v>
      </c>
      <c r="M50" s="932"/>
      <c r="N50" s="932"/>
      <c r="O50" s="932"/>
      <c r="P50" s="932"/>
      <c r="Q50" s="932"/>
      <c r="R50" s="932">
        <v>2</v>
      </c>
      <c r="S50" s="932">
        <v>2</v>
      </c>
      <c r="T50" s="932">
        <v>2</v>
      </c>
      <c r="U50" s="932">
        <v>2</v>
      </c>
      <c r="V50" s="932">
        <v>2</v>
      </c>
      <c r="W50" s="932"/>
      <c r="X50" s="932"/>
      <c r="Y50" s="995">
        <v>10</v>
      </c>
      <c r="Z50" s="917">
        <v>150000000</v>
      </c>
      <c r="AA50" s="850" t="s">
        <v>1090</v>
      </c>
      <c r="AB50" s="1638">
        <f t="shared" si="23"/>
        <v>0</v>
      </c>
      <c r="AC50" s="1634">
        <f t="shared" si="7"/>
        <v>0</v>
      </c>
      <c r="AD50" s="1639">
        <v>0</v>
      </c>
      <c r="AE50" s="1634" t="s">
        <v>1090</v>
      </c>
      <c r="AF50" s="1634">
        <f t="shared" si="24"/>
        <v>0</v>
      </c>
      <c r="AG50" s="1634">
        <f t="shared" si="25"/>
        <v>0</v>
      </c>
      <c r="AH50" s="1640">
        <v>0</v>
      </c>
      <c r="AI50" s="1640"/>
      <c r="AJ50" s="1640"/>
      <c r="AK50" s="1640" t="s">
        <v>1909</v>
      </c>
      <c r="AL50" s="1640"/>
      <c r="AM50" s="1739">
        <f t="shared" si="26"/>
        <v>0</v>
      </c>
      <c r="AN50" s="1731">
        <f t="shared" si="2"/>
        <v>0</v>
      </c>
      <c r="AO50" s="1730">
        <v>0</v>
      </c>
      <c r="AP50" s="1731">
        <v>0.05</v>
      </c>
      <c r="AQ50" s="1731">
        <f t="shared" si="27"/>
        <v>0</v>
      </c>
      <c r="AR50" s="1731">
        <v>0</v>
      </c>
      <c r="AS50" s="1750">
        <v>0</v>
      </c>
      <c r="AT50" s="1730"/>
      <c r="AU50" s="1730" t="s">
        <v>2233</v>
      </c>
      <c r="AV50" s="1730"/>
      <c r="AW50" s="2250">
        <f t="shared" si="28"/>
        <v>2</v>
      </c>
      <c r="AX50" s="2251">
        <f t="shared" si="4"/>
        <v>1</v>
      </c>
      <c r="AY50" s="2197">
        <v>2</v>
      </c>
      <c r="AZ50" s="2195">
        <v>1</v>
      </c>
      <c r="BA50" s="893"/>
      <c r="BB50" s="2251">
        <f>AY50/Y50</f>
        <v>0.2</v>
      </c>
      <c r="BC50" s="2303">
        <v>0</v>
      </c>
      <c r="BD50" s="2268" t="s">
        <v>1090</v>
      </c>
      <c r="BE50" s="2197" t="s">
        <v>2826</v>
      </c>
      <c r="BF50" s="893"/>
      <c r="BG50" s="2399">
        <f t="shared" si="29"/>
        <v>6</v>
      </c>
      <c r="BH50" s="2352">
        <f t="shared" si="5"/>
        <v>1</v>
      </c>
      <c r="BI50" s="2397">
        <v>0</v>
      </c>
      <c r="BJ50" s="2402">
        <v>0</v>
      </c>
      <c r="BK50" s="2398"/>
      <c r="BL50" s="2352">
        <v>0</v>
      </c>
      <c r="BM50" s="2353"/>
      <c r="BN50" s="2351"/>
      <c r="BO50" s="2397" t="s">
        <v>2826</v>
      </c>
      <c r="BP50" s="2398"/>
    </row>
    <row r="51" spans="1:68" s="842" customFormat="1" ht="39" thickBot="1">
      <c r="A51" s="2749"/>
      <c r="B51" s="2750"/>
      <c r="C51" s="2519"/>
      <c r="D51" s="1019" t="s">
        <v>1406</v>
      </c>
      <c r="E51" s="1016" t="s">
        <v>1407</v>
      </c>
      <c r="F51" s="1018">
        <v>1</v>
      </c>
      <c r="G51" s="1016" t="s">
        <v>1408</v>
      </c>
      <c r="H51" s="1005" t="s">
        <v>1401</v>
      </c>
      <c r="I51" s="1015">
        <f t="shared" si="30"/>
        <v>0.09090909090909091</v>
      </c>
      <c r="J51" s="1014" t="s">
        <v>1397</v>
      </c>
      <c r="K51" s="1003">
        <v>42064</v>
      </c>
      <c r="L51" s="1003">
        <v>42246</v>
      </c>
      <c r="M51" s="932"/>
      <c r="N51" s="932"/>
      <c r="O51" s="932"/>
      <c r="P51" s="932"/>
      <c r="Q51" s="932"/>
      <c r="R51" s="932"/>
      <c r="S51" s="932"/>
      <c r="T51" s="932">
        <v>1</v>
      </c>
      <c r="U51" s="932"/>
      <c r="V51" s="932"/>
      <c r="W51" s="932"/>
      <c r="X51" s="932"/>
      <c r="Y51" s="995">
        <v>1</v>
      </c>
      <c r="Z51" s="917">
        <v>200000000</v>
      </c>
      <c r="AA51" s="850" t="s">
        <v>1090</v>
      </c>
      <c r="AB51" s="1638">
        <f t="shared" si="23"/>
        <v>0</v>
      </c>
      <c r="AC51" s="1634">
        <f t="shared" si="7"/>
        <v>0</v>
      </c>
      <c r="AD51" s="1639">
        <v>0</v>
      </c>
      <c r="AE51" s="1634" t="s">
        <v>1090</v>
      </c>
      <c r="AF51" s="1634">
        <f t="shared" si="24"/>
        <v>0</v>
      </c>
      <c r="AG51" s="1634">
        <f t="shared" si="25"/>
        <v>0</v>
      </c>
      <c r="AH51" s="1640">
        <v>0.15</v>
      </c>
      <c r="AI51" s="1640"/>
      <c r="AJ51" s="1640"/>
      <c r="AK51" s="1640" t="s">
        <v>1908</v>
      </c>
      <c r="AL51" s="1640"/>
      <c r="AM51" s="1739">
        <f t="shared" si="26"/>
        <v>0</v>
      </c>
      <c r="AN51" s="1731">
        <f t="shared" si="2"/>
        <v>0</v>
      </c>
      <c r="AO51" s="1730">
        <v>0</v>
      </c>
      <c r="AP51" s="1731">
        <v>0.2</v>
      </c>
      <c r="AQ51" s="1731">
        <f t="shared" si="27"/>
        <v>0</v>
      </c>
      <c r="AR51" s="1731">
        <v>0</v>
      </c>
      <c r="AS51" s="1750">
        <v>0</v>
      </c>
      <c r="AT51" s="1730"/>
      <c r="AU51" s="1730" t="s">
        <v>2234</v>
      </c>
      <c r="AV51" s="1730"/>
      <c r="AW51" s="2250">
        <f t="shared" si="28"/>
        <v>0</v>
      </c>
      <c r="AX51" s="2251">
        <f t="shared" si="4"/>
        <v>0</v>
      </c>
      <c r="AY51" s="2197">
        <v>0</v>
      </c>
      <c r="AZ51" s="2195" t="s">
        <v>1090</v>
      </c>
      <c r="BA51" s="893"/>
      <c r="BB51" s="2251">
        <v>0</v>
      </c>
      <c r="BC51" s="2303">
        <v>0</v>
      </c>
      <c r="BD51" s="2268" t="s">
        <v>1090</v>
      </c>
      <c r="BE51" s="2197" t="s">
        <v>2234</v>
      </c>
      <c r="BF51" s="893"/>
      <c r="BG51" s="2399">
        <f t="shared" si="29"/>
        <v>1</v>
      </c>
      <c r="BH51" s="2352">
        <f t="shared" si="5"/>
        <v>1</v>
      </c>
      <c r="BI51" s="2397">
        <v>0</v>
      </c>
      <c r="BJ51" s="2402">
        <v>0</v>
      </c>
      <c r="BK51" s="2398"/>
      <c r="BL51" s="2352">
        <v>0</v>
      </c>
      <c r="BM51" s="2353"/>
      <c r="BN51" s="2351"/>
      <c r="BO51" s="2397" t="s">
        <v>2234</v>
      </c>
      <c r="BP51" s="2398"/>
    </row>
    <row r="52" spans="1:68" s="842" customFormat="1" ht="39" thickBot="1">
      <c r="A52" s="2749"/>
      <c r="B52" s="2750"/>
      <c r="C52" s="2519"/>
      <c r="D52" s="1000" t="s">
        <v>1409</v>
      </c>
      <c r="E52" s="1016" t="s">
        <v>72</v>
      </c>
      <c r="F52" s="1017">
        <v>1</v>
      </c>
      <c r="G52" s="1016" t="s">
        <v>1410</v>
      </c>
      <c r="H52" s="1005" t="s">
        <v>1369</v>
      </c>
      <c r="I52" s="1015">
        <f t="shared" si="30"/>
        <v>0.09090909090909091</v>
      </c>
      <c r="J52" s="1014" t="s">
        <v>1411</v>
      </c>
      <c r="K52" s="1003">
        <v>42006</v>
      </c>
      <c r="L52" s="1003">
        <v>42185</v>
      </c>
      <c r="M52" s="932"/>
      <c r="N52" s="932"/>
      <c r="O52" s="932"/>
      <c r="P52" s="932"/>
      <c r="Q52" s="932"/>
      <c r="R52" s="932">
        <v>1</v>
      </c>
      <c r="S52" s="932"/>
      <c r="T52" s="932"/>
      <c r="U52" s="932"/>
      <c r="V52" s="932"/>
      <c r="W52" s="932"/>
      <c r="X52" s="932"/>
      <c r="Y52" s="995">
        <f>SUM(M52:X52)</f>
        <v>1</v>
      </c>
      <c r="Z52" s="917">
        <v>15000000</v>
      </c>
      <c r="AA52" s="850" t="s">
        <v>1090</v>
      </c>
      <c r="AB52" s="1638">
        <f t="shared" si="23"/>
        <v>0</v>
      </c>
      <c r="AC52" s="1634">
        <f t="shared" si="7"/>
        <v>0</v>
      </c>
      <c r="AD52" s="1639">
        <v>0</v>
      </c>
      <c r="AE52" s="1634" t="s">
        <v>1090</v>
      </c>
      <c r="AF52" s="1634">
        <f t="shared" si="24"/>
        <v>0</v>
      </c>
      <c r="AG52" s="1634">
        <f t="shared" si="25"/>
        <v>0</v>
      </c>
      <c r="AH52" s="1640"/>
      <c r="AI52" s="1640"/>
      <c r="AJ52" s="1640"/>
      <c r="AK52" s="1640"/>
      <c r="AL52" s="1640"/>
      <c r="AM52" s="1739">
        <f t="shared" si="26"/>
        <v>0</v>
      </c>
      <c r="AN52" s="1731">
        <f t="shared" si="2"/>
        <v>0</v>
      </c>
      <c r="AO52" s="1730">
        <v>0</v>
      </c>
      <c r="AP52" s="1731">
        <v>1</v>
      </c>
      <c r="AQ52" s="1731">
        <f t="shared" si="27"/>
        <v>0</v>
      </c>
      <c r="AR52" s="1731">
        <v>0</v>
      </c>
      <c r="AS52" s="1750">
        <v>0</v>
      </c>
      <c r="AT52" s="1730"/>
      <c r="AU52" s="1730" t="s">
        <v>2235</v>
      </c>
      <c r="AV52" s="1730"/>
      <c r="AW52" s="2250">
        <f t="shared" si="28"/>
        <v>1</v>
      </c>
      <c r="AX52" s="2251">
        <f t="shared" si="4"/>
        <v>1</v>
      </c>
      <c r="AY52" s="2197">
        <v>1</v>
      </c>
      <c r="AZ52" s="2195">
        <v>1</v>
      </c>
      <c r="BA52" s="893"/>
      <c r="BB52" s="2251">
        <v>1</v>
      </c>
      <c r="BC52" s="2303">
        <v>0</v>
      </c>
      <c r="BD52" s="2268" t="s">
        <v>1090</v>
      </c>
      <c r="BE52" s="2197" t="s">
        <v>2235</v>
      </c>
      <c r="BF52" s="893"/>
      <c r="BG52" s="2399">
        <f t="shared" si="29"/>
        <v>1</v>
      </c>
      <c r="BH52" s="2352">
        <f t="shared" si="5"/>
        <v>1</v>
      </c>
      <c r="BI52" s="2397">
        <v>1</v>
      </c>
      <c r="BJ52" s="2402">
        <v>1</v>
      </c>
      <c r="BK52" s="2398"/>
      <c r="BL52" s="2352">
        <v>1</v>
      </c>
      <c r="BM52" s="2353"/>
      <c r="BN52" s="2351"/>
      <c r="BO52" s="2397" t="s">
        <v>2235</v>
      </c>
      <c r="BP52" s="2398"/>
    </row>
    <row r="53" spans="1:68" s="842" customFormat="1" ht="39" thickBot="1">
      <c r="A53" s="2749"/>
      <c r="B53" s="2750"/>
      <c r="C53" s="2519"/>
      <c r="D53" s="1000" t="s">
        <v>1412</v>
      </c>
      <c r="E53" s="1016" t="s">
        <v>1413</v>
      </c>
      <c r="F53" s="1017">
        <v>1</v>
      </c>
      <c r="G53" s="1016" t="s">
        <v>1414</v>
      </c>
      <c r="H53" s="1005" t="s">
        <v>1369</v>
      </c>
      <c r="I53" s="1015">
        <f t="shared" si="30"/>
        <v>0.09090909090909091</v>
      </c>
      <c r="J53" s="1014" t="s">
        <v>1397</v>
      </c>
      <c r="K53" s="1003">
        <v>42006</v>
      </c>
      <c r="L53" s="1003">
        <v>42185</v>
      </c>
      <c r="M53" s="932"/>
      <c r="N53" s="932"/>
      <c r="O53" s="932"/>
      <c r="P53" s="932"/>
      <c r="Q53" s="932"/>
      <c r="R53" s="932">
        <v>1</v>
      </c>
      <c r="S53" s="932"/>
      <c r="T53" s="932"/>
      <c r="U53" s="932"/>
      <c r="V53" s="932"/>
      <c r="W53" s="932"/>
      <c r="X53" s="932"/>
      <c r="Y53" s="995">
        <v>1</v>
      </c>
      <c r="Z53" s="917">
        <v>482898000</v>
      </c>
      <c r="AA53" s="850" t="s">
        <v>1090</v>
      </c>
      <c r="AB53" s="1638">
        <f t="shared" si="23"/>
        <v>0</v>
      </c>
      <c r="AC53" s="1634">
        <f t="shared" si="7"/>
        <v>0</v>
      </c>
      <c r="AD53" s="1639">
        <v>0</v>
      </c>
      <c r="AE53" s="1634" t="s">
        <v>1090</v>
      </c>
      <c r="AF53" s="1634">
        <f t="shared" si="24"/>
        <v>0</v>
      </c>
      <c r="AG53" s="1634">
        <f t="shared" si="25"/>
        <v>0</v>
      </c>
      <c r="AH53" s="1640"/>
      <c r="AI53" s="1640"/>
      <c r="AJ53" s="1640"/>
      <c r="AK53" s="1640"/>
      <c r="AL53" s="1640"/>
      <c r="AM53" s="1739">
        <f t="shared" si="26"/>
        <v>0</v>
      </c>
      <c r="AN53" s="1731">
        <f t="shared" si="2"/>
        <v>0</v>
      </c>
      <c r="AO53" s="1730">
        <v>0</v>
      </c>
      <c r="AP53" s="1731">
        <v>0.1</v>
      </c>
      <c r="AQ53" s="1731">
        <f t="shared" si="27"/>
        <v>0</v>
      </c>
      <c r="AR53" s="1731">
        <v>0</v>
      </c>
      <c r="AS53" s="1750">
        <v>0</v>
      </c>
      <c r="AT53" s="1730"/>
      <c r="AU53" s="1730" t="s">
        <v>2236</v>
      </c>
      <c r="AV53" s="1730"/>
      <c r="AW53" s="2250">
        <f t="shared" si="28"/>
        <v>1</v>
      </c>
      <c r="AX53" s="2251">
        <f t="shared" si="4"/>
        <v>1</v>
      </c>
      <c r="AY53" s="2197">
        <v>0</v>
      </c>
      <c r="AZ53" s="2195">
        <v>0</v>
      </c>
      <c r="BA53" s="893"/>
      <c r="BB53" s="2251">
        <v>0</v>
      </c>
      <c r="BC53" s="2303">
        <v>0</v>
      </c>
      <c r="BD53" s="2268" t="s">
        <v>1090</v>
      </c>
      <c r="BE53" s="2197" t="s">
        <v>2236</v>
      </c>
      <c r="BF53" s="893"/>
      <c r="BG53" s="2399">
        <f t="shared" si="29"/>
        <v>1</v>
      </c>
      <c r="BH53" s="2352">
        <f t="shared" si="5"/>
        <v>1</v>
      </c>
      <c r="BI53" s="2397">
        <v>0</v>
      </c>
      <c r="BJ53" s="2402">
        <v>0</v>
      </c>
      <c r="BK53" s="2398"/>
      <c r="BL53" s="2352">
        <v>0</v>
      </c>
      <c r="BM53" s="2353"/>
      <c r="BN53" s="2351"/>
      <c r="BO53" s="2397" t="s">
        <v>2236</v>
      </c>
      <c r="BP53" s="2398"/>
    </row>
    <row r="54" spans="1:68" s="842" customFormat="1" ht="39" thickBot="1">
      <c r="A54" s="2749"/>
      <c r="B54" s="2750"/>
      <c r="C54" s="2519"/>
      <c r="D54" s="1000" t="s">
        <v>1415</v>
      </c>
      <c r="E54" s="1016" t="s">
        <v>1416</v>
      </c>
      <c r="F54" s="1017">
        <v>1</v>
      </c>
      <c r="G54" s="1016" t="s">
        <v>1414</v>
      </c>
      <c r="H54" s="1005" t="s">
        <v>1369</v>
      </c>
      <c r="I54" s="1015">
        <f t="shared" si="30"/>
        <v>0.09090909090909091</v>
      </c>
      <c r="J54" s="1014" t="s">
        <v>1397</v>
      </c>
      <c r="K54" s="1003">
        <v>42006</v>
      </c>
      <c r="L54" s="1003">
        <v>42185</v>
      </c>
      <c r="M54" s="932"/>
      <c r="N54" s="932"/>
      <c r="O54" s="932"/>
      <c r="P54" s="932"/>
      <c r="Q54" s="932"/>
      <c r="R54" s="932">
        <v>1</v>
      </c>
      <c r="S54" s="932"/>
      <c r="T54" s="932"/>
      <c r="U54" s="932"/>
      <c r="V54" s="932"/>
      <c r="W54" s="932"/>
      <c r="X54" s="932"/>
      <c r="Y54" s="995">
        <v>1</v>
      </c>
      <c r="Z54" s="917">
        <v>93152000</v>
      </c>
      <c r="AA54" s="850" t="s">
        <v>1090</v>
      </c>
      <c r="AB54" s="1638">
        <f t="shared" si="23"/>
        <v>0</v>
      </c>
      <c r="AC54" s="1634">
        <f t="shared" si="7"/>
        <v>0</v>
      </c>
      <c r="AD54" s="1639">
        <v>0</v>
      </c>
      <c r="AE54" s="1634" t="s">
        <v>1090</v>
      </c>
      <c r="AF54" s="1634">
        <f t="shared" si="24"/>
        <v>0</v>
      </c>
      <c r="AG54" s="1634">
        <f t="shared" si="25"/>
        <v>0</v>
      </c>
      <c r="AH54" s="1640"/>
      <c r="AI54" s="1640"/>
      <c r="AJ54" s="1640"/>
      <c r="AK54" s="1640"/>
      <c r="AL54" s="1640"/>
      <c r="AM54" s="1739">
        <f t="shared" si="26"/>
        <v>0</v>
      </c>
      <c r="AN54" s="1731">
        <f t="shared" si="2"/>
        <v>0</v>
      </c>
      <c r="AO54" s="1730">
        <v>0</v>
      </c>
      <c r="AP54" s="1731">
        <v>0.1</v>
      </c>
      <c r="AQ54" s="1731">
        <f t="shared" si="27"/>
        <v>0</v>
      </c>
      <c r="AR54" s="1731">
        <v>0</v>
      </c>
      <c r="AS54" s="1750">
        <v>0</v>
      </c>
      <c r="AT54" s="1730"/>
      <c r="AU54" s="1730" t="s">
        <v>2236</v>
      </c>
      <c r="AV54" s="1730"/>
      <c r="AW54" s="2250">
        <f t="shared" si="28"/>
        <v>1</v>
      </c>
      <c r="AX54" s="2251">
        <f t="shared" si="4"/>
        <v>1</v>
      </c>
      <c r="AY54" s="2197">
        <v>0</v>
      </c>
      <c r="AZ54" s="2195">
        <v>0</v>
      </c>
      <c r="BA54" s="893"/>
      <c r="BB54" s="2251">
        <v>0</v>
      </c>
      <c r="BC54" s="2303">
        <v>0</v>
      </c>
      <c r="BD54" s="2268" t="s">
        <v>1090</v>
      </c>
      <c r="BE54" s="2197" t="s">
        <v>2236</v>
      </c>
      <c r="BF54" s="893"/>
      <c r="BG54" s="2399">
        <f t="shared" si="29"/>
        <v>1</v>
      </c>
      <c r="BH54" s="2352">
        <f t="shared" si="5"/>
        <v>1</v>
      </c>
      <c r="BI54" s="2397">
        <v>0</v>
      </c>
      <c r="BJ54" s="2402">
        <v>0</v>
      </c>
      <c r="BK54" s="2398"/>
      <c r="BL54" s="2352">
        <v>0</v>
      </c>
      <c r="BM54" s="2353"/>
      <c r="BN54" s="2351"/>
      <c r="BO54" s="2397" t="s">
        <v>2236</v>
      </c>
      <c r="BP54" s="2398"/>
    </row>
    <row r="55" spans="1:68" s="842" customFormat="1" ht="39" thickBot="1">
      <c r="A55" s="2749"/>
      <c r="B55" s="2750"/>
      <c r="C55" s="2519"/>
      <c r="D55" s="1000" t="s">
        <v>1417</v>
      </c>
      <c r="E55" s="1016" t="s">
        <v>1418</v>
      </c>
      <c r="F55" s="1017">
        <v>1</v>
      </c>
      <c r="G55" s="1016" t="s">
        <v>1419</v>
      </c>
      <c r="H55" s="1005" t="s">
        <v>1369</v>
      </c>
      <c r="I55" s="1015">
        <f t="shared" si="30"/>
        <v>0.09090909090909091</v>
      </c>
      <c r="J55" s="1014" t="s">
        <v>1420</v>
      </c>
      <c r="K55" s="1003">
        <v>42036</v>
      </c>
      <c r="L55" s="1003">
        <v>42353</v>
      </c>
      <c r="M55" s="932"/>
      <c r="N55" s="932"/>
      <c r="O55" s="932"/>
      <c r="P55" s="932"/>
      <c r="Q55" s="932"/>
      <c r="R55" s="932"/>
      <c r="S55" s="932"/>
      <c r="T55" s="932"/>
      <c r="U55" s="932">
        <v>1</v>
      </c>
      <c r="V55" s="932"/>
      <c r="W55" s="932"/>
      <c r="X55" s="932"/>
      <c r="Y55" s="995">
        <v>1</v>
      </c>
      <c r="Z55" s="917">
        <v>80000000</v>
      </c>
      <c r="AA55" s="850" t="s">
        <v>1090</v>
      </c>
      <c r="AB55" s="1638">
        <f t="shared" si="23"/>
        <v>0</v>
      </c>
      <c r="AC55" s="1634">
        <f t="shared" si="7"/>
        <v>0</v>
      </c>
      <c r="AD55" s="1639">
        <v>0</v>
      </c>
      <c r="AE55" s="1634" t="s">
        <v>1090</v>
      </c>
      <c r="AF55" s="1634">
        <f t="shared" si="24"/>
        <v>0</v>
      </c>
      <c r="AG55" s="1634">
        <f t="shared" si="25"/>
        <v>0</v>
      </c>
      <c r="AH55" s="1640"/>
      <c r="AI55" s="1640"/>
      <c r="AJ55" s="1640"/>
      <c r="AK55" s="1640"/>
      <c r="AL55" s="1640"/>
      <c r="AM55" s="1739">
        <f t="shared" si="26"/>
        <v>0</v>
      </c>
      <c r="AN55" s="1731">
        <f t="shared" si="2"/>
        <v>0</v>
      </c>
      <c r="AO55" s="1730">
        <v>0</v>
      </c>
      <c r="AP55" s="1731">
        <v>0.1</v>
      </c>
      <c r="AQ55" s="1731">
        <f t="shared" si="27"/>
        <v>0</v>
      </c>
      <c r="AR55" s="1731">
        <v>0</v>
      </c>
      <c r="AS55" s="1750">
        <v>0</v>
      </c>
      <c r="AT55" s="1730"/>
      <c r="AU55" s="1730" t="s">
        <v>2236</v>
      </c>
      <c r="AV55" s="1730"/>
      <c r="AW55" s="2250">
        <f t="shared" si="28"/>
        <v>0</v>
      </c>
      <c r="AX55" s="2251">
        <f t="shared" si="4"/>
        <v>0</v>
      </c>
      <c r="AY55" s="2197">
        <v>0</v>
      </c>
      <c r="AZ55" s="2195" t="s">
        <v>1090</v>
      </c>
      <c r="BA55" s="893"/>
      <c r="BB55" s="2251">
        <v>0</v>
      </c>
      <c r="BC55" s="2303">
        <v>0</v>
      </c>
      <c r="BD55" s="2268" t="s">
        <v>1090</v>
      </c>
      <c r="BE55" s="2197" t="s">
        <v>2236</v>
      </c>
      <c r="BF55" s="893"/>
      <c r="BG55" s="2399">
        <f t="shared" si="29"/>
        <v>0</v>
      </c>
      <c r="BH55" s="2352">
        <f t="shared" si="5"/>
        <v>0</v>
      </c>
      <c r="BI55" s="2397" t="s">
        <v>1090</v>
      </c>
      <c r="BJ55" s="2402" t="s">
        <v>1090</v>
      </c>
      <c r="BK55" s="2398"/>
      <c r="BL55" s="2352">
        <v>0</v>
      </c>
      <c r="BM55" s="2353"/>
      <c r="BN55" s="2351"/>
      <c r="BO55" s="2397" t="s">
        <v>2236</v>
      </c>
      <c r="BP55" s="2398"/>
    </row>
    <row r="56" spans="1:68" s="842" customFormat="1" ht="26.25" thickBot="1">
      <c r="A56" s="2749"/>
      <c r="B56" s="2750"/>
      <c r="C56" s="2519"/>
      <c r="D56" s="1000" t="s">
        <v>1421</v>
      </c>
      <c r="E56" s="1016" t="s">
        <v>1101</v>
      </c>
      <c r="F56" s="1017">
        <v>1</v>
      </c>
      <c r="G56" s="1016" t="s">
        <v>1422</v>
      </c>
      <c r="H56" s="1005" t="s">
        <v>1401</v>
      </c>
      <c r="I56" s="1015">
        <f t="shared" si="30"/>
        <v>0.09090909090909091</v>
      </c>
      <c r="J56" s="1014" t="s">
        <v>1423</v>
      </c>
      <c r="K56" s="1003">
        <v>42036</v>
      </c>
      <c r="L56" s="1003">
        <v>42353</v>
      </c>
      <c r="M56" s="932"/>
      <c r="N56" s="932"/>
      <c r="O56" s="932"/>
      <c r="P56" s="932"/>
      <c r="Q56" s="932"/>
      <c r="R56" s="932"/>
      <c r="S56" s="932"/>
      <c r="T56" s="932"/>
      <c r="U56" s="932"/>
      <c r="V56" s="932"/>
      <c r="W56" s="932"/>
      <c r="X56" s="932">
        <v>1</v>
      </c>
      <c r="Y56" s="995">
        <f>SUM(M56:X56)</f>
        <v>1</v>
      </c>
      <c r="Z56" s="917">
        <v>15000000</v>
      </c>
      <c r="AA56" s="850" t="s">
        <v>1090</v>
      </c>
      <c r="AB56" s="1638">
        <f t="shared" si="23"/>
        <v>0</v>
      </c>
      <c r="AC56" s="1634">
        <f t="shared" si="7"/>
        <v>0</v>
      </c>
      <c r="AD56" s="1639">
        <v>0</v>
      </c>
      <c r="AE56" s="1634" t="s">
        <v>1090</v>
      </c>
      <c r="AF56" s="1634">
        <f t="shared" si="24"/>
        <v>0</v>
      </c>
      <c r="AG56" s="1634">
        <f t="shared" si="25"/>
        <v>0</v>
      </c>
      <c r="AH56" s="1640">
        <v>0.2</v>
      </c>
      <c r="AI56" s="1640"/>
      <c r="AJ56" s="1640"/>
      <c r="AK56" s="1640" t="s">
        <v>1910</v>
      </c>
      <c r="AL56" s="1640"/>
      <c r="AM56" s="1739">
        <f t="shared" si="26"/>
        <v>0</v>
      </c>
      <c r="AN56" s="1731">
        <f t="shared" si="2"/>
        <v>0</v>
      </c>
      <c r="AO56" s="1730">
        <v>0</v>
      </c>
      <c r="AP56" s="1731">
        <v>0.2</v>
      </c>
      <c r="AQ56" s="1731">
        <f t="shared" si="27"/>
        <v>0</v>
      </c>
      <c r="AR56" s="1731">
        <v>0</v>
      </c>
      <c r="AS56" s="1750">
        <v>0</v>
      </c>
      <c r="AT56" s="1730"/>
      <c r="AU56" s="1730" t="s">
        <v>1910</v>
      </c>
      <c r="AV56" s="1730"/>
      <c r="AW56" s="2250">
        <f t="shared" si="28"/>
        <v>0</v>
      </c>
      <c r="AX56" s="2251">
        <f t="shared" si="4"/>
        <v>0</v>
      </c>
      <c r="AY56" s="2197">
        <v>0</v>
      </c>
      <c r="AZ56" s="2195" t="s">
        <v>1090</v>
      </c>
      <c r="BA56" s="893"/>
      <c r="BB56" s="2251">
        <v>0</v>
      </c>
      <c r="BC56" s="2303">
        <v>0</v>
      </c>
      <c r="BD56" s="2268" t="s">
        <v>1090</v>
      </c>
      <c r="BE56" s="2197" t="s">
        <v>1910</v>
      </c>
      <c r="BF56" s="893"/>
      <c r="BG56" s="2399">
        <f t="shared" si="29"/>
        <v>0</v>
      </c>
      <c r="BH56" s="2352">
        <f t="shared" si="5"/>
        <v>0</v>
      </c>
      <c r="BI56" s="2397" t="s">
        <v>1090</v>
      </c>
      <c r="BJ56" s="2402" t="s">
        <v>1090</v>
      </c>
      <c r="BK56" s="2398"/>
      <c r="BL56" s="2352">
        <v>0</v>
      </c>
      <c r="BM56" s="2353"/>
      <c r="BN56" s="2351"/>
      <c r="BO56" s="2397" t="s">
        <v>1910</v>
      </c>
      <c r="BP56" s="2398"/>
    </row>
    <row r="57" spans="1:68" s="842" customFormat="1" ht="20.1" customHeight="1" thickBot="1">
      <c r="A57" s="2556" t="s">
        <v>130</v>
      </c>
      <c r="B57" s="2556"/>
      <c r="C57" s="2556"/>
      <c r="D57" s="2556"/>
      <c r="E57" s="848"/>
      <c r="F57" s="848"/>
      <c r="G57" s="848"/>
      <c r="H57" s="848"/>
      <c r="I57" s="866">
        <f>SUM(I46:I56)</f>
        <v>0.9990909090909094</v>
      </c>
      <c r="J57" s="848"/>
      <c r="K57" s="848"/>
      <c r="L57" s="848"/>
      <c r="M57" s="848"/>
      <c r="N57" s="848"/>
      <c r="O57" s="848"/>
      <c r="P57" s="848"/>
      <c r="Q57" s="848"/>
      <c r="R57" s="848"/>
      <c r="S57" s="848"/>
      <c r="T57" s="848"/>
      <c r="U57" s="848"/>
      <c r="V57" s="848"/>
      <c r="W57" s="848"/>
      <c r="X57" s="848"/>
      <c r="Y57" s="848"/>
      <c r="Z57" s="1013">
        <f>SUM(Z46:Z56)</f>
        <v>18480425000</v>
      </c>
      <c r="AA57" s="846"/>
      <c r="AB57" s="1531"/>
      <c r="AC57" s="1532" t="s">
        <v>1090</v>
      </c>
      <c r="AD57" s="1533"/>
      <c r="AE57" s="1532" t="s">
        <v>1090</v>
      </c>
      <c r="AF57" s="1532"/>
      <c r="AG57" s="1532">
        <f>AVERAGE(AG46:AG56)</f>
        <v>0</v>
      </c>
      <c r="AH57" s="844"/>
      <c r="AI57" s="844"/>
      <c r="AJ57" s="844"/>
      <c r="AK57" s="844"/>
      <c r="AL57" s="844"/>
      <c r="AM57" s="1732"/>
      <c r="AN57" s="1869" t="s">
        <v>1090</v>
      </c>
      <c r="AO57" s="1732"/>
      <c r="AP57" s="1872">
        <f>AVERAGE(AP46:AP56)</f>
        <v>0.3363636363636364</v>
      </c>
      <c r="AQ57" s="1872"/>
      <c r="AR57" s="1872">
        <f>AVERAGE(AR46:AR56)</f>
        <v>0</v>
      </c>
      <c r="AS57" s="1732"/>
      <c r="AT57" s="1732"/>
      <c r="AU57" s="1732"/>
      <c r="AV57" s="1732"/>
      <c r="AW57" s="844"/>
      <c r="AX57" s="2252">
        <v>1</v>
      </c>
      <c r="AY57" s="844"/>
      <c r="AZ57" s="2255">
        <f>AVERAGE(AZ46:AZ56)</f>
        <v>0.5</v>
      </c>
      <c r="BA57" s="844"/>
      <c r="BB57" s="2264">
        <f>AVERAGE(BB46:BB56)</f>
        <v>0.22000000000000003</v>
      </c>
      <c r="BC57" s="844"/>
      <c r="BD57" s="844"/>
      <c r="BE57" s="844"/>
      <c r="BF57" s="844"/>
      <c r="BG57" s="844"/>
      <c r="BH57" s="2252">
        <v>1</v>
      </c>
      <c r="BI57" s="844"/>
      <c r="BJ57" s="2255">
        <f>AVERAGE(BJ46:BJ56)</f>
        <v>0.2222222222222222</v>
      </c>
      <c r="BK57" s="844"/>
      <c r="BL57" s="2264">
        <f>AVERAGE(BL46:BL56)</f>
        <v>0.18181818181818182</v>
      </c>
      <c r="BM57" s="844"/>
      <c r="BN57" s="844"/>
      <c r="BO57" s="844"/>
      <c r="BP57" s="844"/>
    </row>
    <row r="58" spans="1:68" s="842" customFormat="1" ht="20.1" customHeight="1" thickBot="1">
      <c r="A58" s="2563" t="s">
        <v>290</v>
      </c>
      <c r="B58" s="2754"/>
      <c r="C58" s="2754"/>
      <c r="D58" s="2755"/>
      <c r="E58" s="1090"/>
      <c r="F58" s="1091"/>
      <c r="G58" s="1091"/>
      <c r="H58" s="1091"/>
      <c r="I58" s="1091"/>
      <c r="J58" s="1091"/>
      <c r="K58" s="1091"/>
      <c r="L58" s="1091"/>
      <c r="M58" s="1091"/>
      <c r="N58" s="1091"/>
      <c r="O58" s="1091"/>
      <c r="P58" s="1091"/>
      <c r="Q58" s="1091"/>
      <c r="R58" s="1091"/>
      <c r="S58" s="1091"/>
      <c r="T58" s="1091"/>
      <c r="U58" s="1091"/>
      <c r="V58" s="1091"/>
      <c r="W58" s="1091"/>
      <c r="X58" s="1091"/>
      <c r="Y58" s="1091"/>
      <c r="Z58" s="1092">
        <f>SUM(Z27,Z45,Z57)</f>
        <v>18618663628</v>
      </c>
      <c r="AA58" s="1093"/>
      <c r="AB58" s="1093"/>
      <c r="AC58" s="1356">
        <f>AVERAGE(AC57,AC45,AC27)</f>
        <v>1</v>
      </c>
      <c r="AD58" s="1445"/>
      <c r="AE58" s="1356">
        <f>AVERAGE(AE57,AE45,AE27)</f>
        <v>1</v>
      </c>
      <c r="AF58" s="1356"/>
      <c r="AG58" s="1356">
        <f>AVERAGE(AG57,AG45,AG27)</f>
        <v>0.0101010101010101</v>
      </c>
      <c r="AH58" s="1093"/>
      <c r="AI58" s="1093"/>
      <c r="AJ58" s="1093"/>
      <c r="AK58" s="1093"/>
      <c r="AL58" s="1093"/>
      <c r="AM58" s="1733"/>
      <c r="AN58" s="1914">
        <f>AVERAGE(AN57,AN45,AN27)</f>
        <v>1</v>
      </c>
      <c r="AO58" s="1733"/>
      <c r="AP58" s="1914">
        <f>AVERAGE(AP57,AP45,AP27)</f>
        <v>0.4261408199643493</v>
      </c>
      <c r="AQ58" s="1733"/>
      <c r="AR58" s="1914">
        <f>AVERAGE(AR57,AR45,AR27)</f>
        <v>0.16325757575757577</v>
      </c>
      <c r="AS58" s="1733"/>
      <c r="AT58" s="1733"/>
      <c r="AU58" s="1733"/>
      <c r="AV58" s="1733"/>
      <c r="AW58" s="843"/>
      <c r="AX58" s="2226">
        <v>1</v>
      </c>
      <c r="AY58" s="843"/>
      <c r="AZ58" s="2256">
        <f>AVERAGE(AZ57,AZ45,AZ27)</f>
        <v>0.75</v>
      </c>
      <c r="BA58" s="843"/>
      <c r="BB58" s="2227">
        <f>AVERAGE(BB57,BB45,BB27)</f>
        <v>0.24505050505050505</v>
      </c>
      <c r="BC58" s="843"/>
      <c r="BD58" s="843"/>
      <c r="BE58" s="843"/>
      <c r="BF58" s="843"/>
      <c r="BG58" s="843"/>
      <c r="BH58" s="2226">
        <v>1</v>
      </c>
      <c r="BI58" s="843"/>
      <c r="BJ58" s="2462">
        <f>AVERAGE(BJ57,BJ45,BJ27)</f>
        <v>0.674074074074074</v>
      </c>
      <c r="BK58" s="843"/>
      <c r="BL58" s="2463">
        <f>AVERAGE(BL57,BL45,BL27)</f>
        <v>0.41275252525252526</v>
      </c>
      <c r="BM58" s="843"/>
      <c r="BN58" s="843"/>
      <c r="BO58" s="843"/>
      <c r="BP58" s="843"/>
    </row>
    <row r="59" spans="1:65" s="896" customFormat="1" ht="9.95" customHeight="1" thickBot="1">
      <c r="A59" s="2564"/>
      <c r="B59" s="2564"/>
      <c r="C59" s="2564"/>
      <c r="D59" s="2564"/>
      <c r="E59" s="2564"/>
      <c r="F59" s="2564"/>
      <c r="G59" s="2564"/>
      <c r="H59" s="2564"/>
      <c r="I59" s="2564"/>
      <c r="J59" s="2564"/>
      <c r="K59" s="2564"/>
      <c r="L59" s="2564"/>
      <c r="M59" s="2564"/>
      <c r="N59" s="2564"/>
      <c r="O59" s="2564"/>
      <c r="P59" s="2564"/>
      <c r="Q59" s="2564"/>
      <c r="R59" s="2564"/>
      <c r="S59" s="2564"/>
      <c r="T59" s="2564"/>
      <c r="U59" s="2564"/>
      <c r="V59" s="2564"/>
      <c r="W59" s="2564"/>
      <c r="X59" s="2564"/>
      <c r="Y59" s="2564"/>
      <c r="Z59" s="2564"/>
      <c r="AA59" s="2564"/>
      <c r="AB59" s="1285"/>
      <c r="AC59" s="1355"/>
      <c r="AD59" s="1443"/>
      <c r="AE59" s="1355"/>
      <c r="AF59" s="1355"/>
      <c r="AG59" s="1355"/>
      <c r="AH59" s="897"/>
      <c r="AI59" s="897"/>
      <c r="AJ59" s="897"/>
      <c r="AK59" s="897"/>
      <c r="AL59" s="897"/>
      <c r="AM59" s="1735"/>
      <c r="AN59" s="1735"/>
      <c r="AO59" s="1735"/>
      <c r="AP59" s="1735"/>
      <c r="AQ59" s="1735"/>
      <c r="AR59" s="1735"/>
      <c r="AS59" s="1735"/>
      <c r="AT59" s="1735"/>
      <c r="AU59" s="1735"/>
      <c r="AV59" s="1735"/>
      <c r="AW59" s="897"/>
      <c r="AX59" s="897"/>
      <c r="AY59" s="897"/>
      <c r="AZ59" s="897"/>
      <c r="BA59" s="897"/>
      <c r="BB59" s="897"/>
      <c r="BC59" s="897"/>
      <c r="BG59" s="897"/>
      <c r="BH59" s="897"/>
      <c r="BI59" s="897"/>
      <c r="BJ59" s="897"/>
      <c r="BK59" s="897"/>
      <c r="BL59" s="897"/>
      <c r="BM59" s="897"/>
    </row>
    <row r="60" spans="1:68" s="898" customFormat="1" ht="21" customHeight="1" thickBot="1">
      <c r="A60" s="2549" t="s">
        <v>9</v>
      </c>
      <c r="B60" s="2549"/>
      <c r="C60" s="2549"/>
      <c r="D60" s="2549"/>
      <c r="E60" s="2550" t="s">
        <v>824</v>
      </c>
      <c r="F60" s="2550"/>
      <c r="G60" s="2550"/>
      <c r="H60" s="2550"/>
      <c r="I60" s="2550"/>
      <c r="J60" s="2550"/>
      <c r="K60" s="2550"/>
      <c r="L60" s="2550"/>
      <c r="M60" s="2550"/>
      <c r="N60" s="2550"/>
      <c r="O60" s="2550"/>
      <c r="P60" s="2550"/>
      <c r="Q60" s="2550"/>
      <c r="R60" s="2550"/>
      <c r="S60" s="2550"/>
      <c r="T60" s="2550"/>
      <c r="U60" s="2550"/>
      <c r="V60" s="2550"/>
      <c r="W60" s="2550"/>
      <c r="X60" s="2550"/>
      <c r="Y60" s="2550"/>
      <c r="Z60" s="2550"/>
      <c r="AA60" s="2550"/>
      <c r="AB60" s="2551" t="s">
        <v>824</v>
      </c>
      <c r="AC60" s="2551"/>
      <c r="AD60" s="2551"/>
      <c r="AE60" s="2551"/>
      <c r="AF60" s="2551"/>
      <c r="AG60" s="2551"/>
      <c r="AH60" s="2551"/>
      <c r="AI60" s="2551"/>
      <c r="AJ60" s="2551"/>
      <c r="AK60" s="2551"/>
      <c r="AL60" s="2551"/>
      <c r="AM60" s="2746" t="s">
        <v>824</v>
      </c>
      <c r="AN60" s="2746"/>
      <c r="AO60" s="2746"/>
      <c r="AP60" s="2746"/>
      <c r="AQ60" s="2746"/>
      <c r="AR60" s="2746"/>
      <c r="AS60" s="2746"/>
      <c r="AT60" s="2746"/>
      <c r="AU60" s="2746"/>
      <c r="AV60" s="2747"/>
      <c r="AW60" s="2532" t="s">
        <v>824</v>
      </c>
      <c r="AX60" s="2533"/>
      <c r="AY60" s="2533"/>
      <c r="AZ60" s="2533"/>
      <c r="BA60" s="2533"/>
      <c r="BB60" s="2533"/>
      <c r="BC60" s="2533"/>
      <c r="BD60" s="2533"/>
      <c r="BE60" s="2533"/>
      <c r="BF60" s="2534"/>
      <c r="BG60" s="2532" t="s">
        <v>824</v>
      </c>
      <c r="BH60" s="2533"/>
      <c r="BI60" s="2533"/>
      <c r="BJ60" s="2533"/>
      <c r="BK60" s="2533"/>
      <c r="BL60" s="2533"/>
      <c r="BM60" s="2533"/>
      <c r="BN60" s="2533"/>
      <c r="BO60" s="2533"/>
      <c r="BP60" s="2534"/>
    </row>
    <row r="61" spans="2:48" s="896" customFormat="1" ht="9.95" customHeight="1" thickBot="1">
      <c r="B61" s="1012"/>
      <c r="F61" s="1089"/>
      <c r="I61" s="1010"/>
      <c r="K61" s="1009"/>
      <c r="L61" s="1009"/>
      <c r="Z61" s="1008"/>
      <c r="AB61" s="1284"/>
      <c r="AC61" s="1354"/>
      <c r="AD61" s="1442"/>
      <c r="AE61" s="1354"/>
      <c r="AF61" s="1354"/>
      <c r="AG61" s="1354"/>
      <c r="AH61" s="1007"/>
      <c r="AI61" s="1007"/>
      <c r="AJ61" s="1007"/>
      <c r="AK61" s="1007"/>
      <c r="AL61" s="1007"/>
      <c r="AM61" s="1736"/>
      <c r="AN61" s="1736"/>
      <c r="AO61" s="1736"/>
      <c r="AP61" s="1736"/>
      <c r="AQ61" s="1736"/>
      <c r="AR61" s="1736"/>
      <c r="AS61" s="1736"/>
      <c r="AT61" s="1736"/>
      <c r="AU61" s="1736"/>
      <c r="AV61" s="1736"/>
    </row>
    <row r="62" spans="1:68" s="892" customFormat="1" ht="39" thickBot="1">
      <c r="A62" s="1094" t="s">
        <v>11</v>
      </c>
      <c r="B62" s="1095" t="s">
        <v>12</v>
      </c>
      <c r="C62" s="1094" t="s">
        <v>13</v>
      </c>
      <c r="D62" s="1096" t="s">
        <v>14</v>
      </c>
      <c r="E62" s="1097" t="s">
        <v>15</v>
      </c>
      <c r="F62" s="1098" t="s">
        <v>16</v>
      </c>
      <c r="G62" s="1099" t="s">
        <v>17</v>
      </c>
      <c r="H62" s="1099" t="s">
        <v>18</v>
      </c>
      <c r="I62" s="1100" t="s">
        <v>19</v>
      </c>
      <c r="J62" s="1099" t="s">
        <v>20</v>
      </c>
      <c r="K62" s="1099" t="s">
        <v>1616</v>
      </c>
      <c r="L62" s="1099" t="s">
        <v>22</v>
      </c>
      <c r="M62" s="1101" t="s">
        <v>23</v>
      </c>
      <c r="N62" s="1101" t="s">
        <v>24</v>
      </c>
      <c r="O62" s="1101" t="s">
        <v>25</v>
      </c>
      <c r="P62" s="1101" t="s">
        <v>26</v>
      </c>
      <c r="Q62" s="1101" t="s">
        <v>27</v>
      </c>
      <c r="R62" s="1101" t="s">
        <v>28</v>
      </c>
      <c r="S62" s="1101" t="s">
        <v>29</v>
      </c>
      <c r="T62" s="1101" t="s">
        <v>30</v>
      </c>
      <c r="U62" s="1101" t="s">
        <v>31</v>
      </c>
      <c r="V62" s="1101" t="s">
        <v>32</v>
      </c>
      <c r="W62" s="1101" t="s">
        <v>33</v>
      </c>
      <c r="X62" s="1101" t="s">
        <v>34</v>
      </c>
      <c r="Y62" s="1099" t="s">
        <v>35</v>
      </c>
      <c r="Z62" s="1102" t="s">
        <v>36</v>
      </c>
      <c r="AA62" s="1103" t="s">
        <v>37</v>
      </c>
      <c r="AB62" s="1643" t="s">
        <v>38</v>
      </c>
      <c r="AC62" s="1613" t="s">
        <v>1781</v>
      </c>
      <c r="AD62" s="1644" t="s">
        <v>39</v>
      </c>
      <c r="AE62" s="1614" t="s">
        <v>1821</v>
      </c>
      <c r="AF62" s="1614" t="s">
        <v>1822</v>
      </c>
      <c r="AG62" s="1613" t="s">
        <v>1783</v>
      </c>
      <c r="AH62" s="1645" t="s">
        <v>40</v>
      </c>
      <c r="AI62" s="1645" t="s">
        <v>41</v>
      </c>
      <c r="AJ62" s="1645" t="s">
        <v>42</v>
      </c>
      <c r="AK62" s="1645" t="s">
        <v>43</v>
      </c>
      <c r="AL62" s="1645" t="s">
        <v>44</v>
      </c>
      <c r="AM62" s="1727" t="s">
        <v>45</v>
      </c>
      <c r="AN62" s="1727" t="s">
        <v>1781</v>
      </c>
      <c r="AO62" s="1727" t="s">
        <v>46</v>
      </c>
      <c r="AP62" s="1727" t="s">
        <v>2024</v>
      </c>
      <c r="AQ62" s="1727" t="s">
        <v>1785</v>
      </c>
      <c r="AR62" s="1727" t="s">
        <v>2164</v>
      </c>
      <c r="AS62" s="1727" t="s">
        <v>41</v>
      </c>
      <c r="AT62" s="1727" t="s">
        <v>42</v>
      </c>
      <c r="AU62" s="1727" t="s">
        <v>43</v>
      </c>
      <c r="AV62" s="1727" t="s">
        <v>44</v>
      </c>
      <c r="AW62" s="2067" t="s">
        <v>47</v>
      </c>
      <c r="AX62" s="2067" t="s">
        <v>1781</v>
      </c>
      <c r="AY62" s="2067" t="s">
        <v>48</v>
      </c>
      <c r="AZ62" s="2067" t="s">
        <v>2621</v>
      </c>
      <c r="BA62" s="2067" t="s">
        <v>1785</v>
      </c>
      <c r="BB62" s="2067" t="s">
        <v>2698</v>
      </c>
      <c r="BC62" s="2067" t="s">
        <v>41</v>
      </c>
      <c r="BD62" s="2067" t="s">
        <v>42</v>
      </c>
      <c r="BE62" s="2067" t="s">
        <v>43</v>
      </c>
      <c r="BF62" s="2067" t="s">
        <v>44</v>
      </c>
      <c r="BG62" s="2367" t="s">
        <v>49</v>
      </c>
      <c r="BH62" s="2367" t="s">
        <v>1781</v>
      </c>
      <c r="BI62" s="2367" t="s">
        <v>50</v>
      </c>
      <c r="BJ62" s="2367" t="s">
        <v>2857</v>
      </c>
      <c r="BK62" s="2367" t="s">
        <v>1785</v>
      </c>
      <c r="BL62" s="2367" t="s">
        <v>2947</v>
      </c>
      <c r="BM62" s="2367" t="s">
        <v>41</v>
      </c>
      <c r="BN62" s="2367" t="s">
        <v>42</v>
      </c>
      <c r="BO62" s="2367" t="s">
        <v>43</v>
      </c>
      <c r="BP62" s="2367" t="s">
        <v>44</v>
      </c>
    </row>
    <row r="63" spans="1:68" s="796" customFormat="1" ht="39" customHeight="1" thickBot="1">
      <c r="A63" s="2545">
        <v>1</v>
      </c>
      <c r="B63" s="2545" t="s">
        <v>1615</v>
      </c>
      <c r="C63" s="862" t="s">
        <v>1424</v>
      </c>
      <c r="D63" s="916" t="s">
        <v>1425</v>
      </c>
      <c r="E63" s="935" t="s">
        <v>1426</v>
      </c>
      <c r="F63" s="1006">
        <v>2</v>
      </c>
      <c r="G63" s="935" t="s">
        <v>1427</v>
      </c>
      <c r="H63" s="1005" t="s">
        <v>1428</v>
      </c>
      <c r="I63" s="939">
        <v>0.05</v>
      </c>
      <c r="J63" s="1004" t="s">
        <v>1397</v>
      </c>
      <c r="K63" s="1003">
        <v>42064</v>
      </c>
      <c r="L63" s="1003">
        <v>42277</v>
      </c>
      <c r="M63" s="932"/>
      <c r="N63" s="932"/>
      <c r="O63" s="932"/>
      <c r="P63" s="932"/>
      <c r="Q63" s="932"/>
      <c r="R63" s="932"/>
      <c r="S63" s="932">
        <v>1</v>
      </c>
      <c r="T63" s="932"/>
      <c r="U63" s="932">
        <v>1</v>
      </c>
      <c r="V63" s="932"/>
      <c r="W63" s="932"/>
      <c r="X63" s="932"/>
      <c r="Y63" s="1002">
        <v>2</v>
      </c>
      <c r="Z63" s="969">
        <v>300000000</v>
      </c>
      <c r="AA63" s="850" t="s">
        <v>1090</v>
      </c>
      <c r="AB63" s="1638">
        <f>SUM(M63:N63)</f>
        <v>0</v>
      </c>
      <c r="AC63" s="1634">
        <f aca="true" t="shared" si="31" ref="AC63:AC90">IF(AB63=0,0%,100%)</f>
        <v>0</v>
      </c>
      <c r="AD63" s="1639">
        <v>0</v>
      </c>
      <c r="AE63" s="1634" t="s">
        <v>1090</v>
      </c>
      <c r="AF63" s="1634">
        <f>AD63/Y63</f>
        <v>0</v>
      </c>
      <c r="AG63" s="1634">
        <f>AF63</f>
        <v>0</v>
      </c>
      <c r="AH63" s="1640">
        <v>0.2</v>
      </c>
      <c r="AI63" s="1642"/>
      <c r="AJ63" s="1640"/>
      <c r="AK63" s="1642" t="s">
        <v>1908</v>
      </c>
      <c r="AL63" s="1642"/>
      <c r="AM63" s="1742">
        <f>SUM(M63:P63)</f>
        <v>0</v>
      </c>
      <c r="AN63" s="1729">
        <f aca="true" t="shared" si="32" ref="AN63:AN90">IF(AM63=0,0%,100%)</f>
        <v>0</v>
      </c>
      <c r="AO63" s="1728">
        <v>0</v>
      </c>
      <c r="AP63" s="1729">
        <v>0.2</v>
      </c>
      <c r="AQ63" s="1729">
        <f>AO63/Y63</f>
        <v>0</v>
      </c>
      <c r="AR63" s="1729">
        <v>0</v>
      </c>
      <c r="AS63" s="1749">
        <v>0</v>
      </c>
      <c r="AT63" s="1728"/>
      <c r="AU63" s="1728" t="s">
        <v>2237</v>
      </c>
      <c r="AV63" s="1728"/>
      <c r="AW63" s="2196">
        <f>SUM(M63:R63)</f>
        <v>0</v>
      </c>
      <c r="AX63" s="2218">
        <f aca="true" t="shared" si="33" ref="AX63:AX90">IF(AW63=0,0%,100%)</f>
        <v>0</v>
      </c>
      <c r="AY63" s="2196">
        <v>0</v>
      </c>
      <c r="AZ63" s="2218" t="s">
        <v>1090</v>
      </c>
      <c r="BA63" s="795"/>
      <c r="BB63" s="2218">
        <v>0</v>
      </c>
      <c r="BC63" s="2308">
        <v>0</v>
      </c>
      <c r="BD63" s="795" t="s">
        <v>1090</v>
      </c>
      <c r="BE63" s="2196" t="s">
        <v>2827</v>
      </c>
      <c r="BF63" s="795"/>
      <c r="BG63" s="2392">
        <f>SUM(M63:T63)</f>
        <v>1</v>
      </c>
      <c r="BH63" s="2391">
        <f aca="true" t="shared" si="34" ref="BH63:BH90">IF(BG63=0,0%,100%)</f>
        <v>1</v>
      </c>
      <c r="BI63" s="2392">
        <v>1</v>
      </c>
      <c r="BJ63" s="2391">
        <v>1</v>
      </c>
      <c r="BK63" s="2393"/>
      <c r="BL63" s="2391">
        <v>0.5</v>
      </c>
      <c r="BM63" s="2394"/>
      <c r="BN63" s="2393"/>
      <c r="BO63" s="2392" t="s">
        <v>2827</v>
      </c>
      <c r="BP63" s="2393"/>
    </row>
    <row r="64" spans="1:68" s="796" customFormat="1" ht="42" customHeight="1" thickBot="1">
      <c r="A64" s="2545"/>
      <c r="B64" s="2545"/>
      <c r="C64" s="2753" t="s">
        <v>825</v>
      </c>
      <c r="D64" s="930" t="s">
        <v>1429</v>
      </c>
      <c r="E64" s="889" t="s">
        <v>1430</v>
      </c>
      <c r="F64" s="889">
        <v>1</v>
      </c>
      <c r="G64" s="889" t="s">
        <v>1431</v>
      </c>
      <c r="H64" s="889" t="s">
        <v>1380</v>
      </c>
      <c r="I64" s="992">
        <v>0.05</v>
      </c>
      <c r="J64" s="889" t="s">
        <v>1432</v>
      </c>
      <c r="K64" s="910">
        <v>42037</v>
      </c>
      <c r="L64" s="910">
        <v>42353</v>
      </c>
      <c r="M64" s="974"/>
      <c r="N64" s="974"/>
      <c r="O64" s="974"/>
      <c r="P64" s="974"/>
      <c r="Q64" s="974"/>
      <c r="R64" s="974"/>
      <c r="S64" s="974"/>
      <c r="T64" s="991"/>
      <c r="U64" s="990"/>
      <c r="V64" s="989"/>
      <c r="W64" s="989"/>
      <c r="X64" s="989">
        <v>1</v>
      </c>
      <c r="Y64" s="1002">
        <v>1</v>
      </c>
      <c r="Z64" s="1001">
        <v>15000000</v>
      </c>
      <c r="AA64" s="850" t="s">
        <v>1090</v>
      </c>
      <c r="AB64" s="1638">
        <f aca="true" t="shared" si="35" ref="AB64:AB90">SUM(M64:N64)</f>
        <v>0</v>
      </c>
      <c r="AC64" s="1634">
        <f t="shared" si="31"/>
        <v>0</v>
      </c>
      <c r="AD64" s="1639">
        <v>0</v>
      </c>
      <c r="AE64" s="1634" t="s">
        <v>1090</v>
      </c>
      <c r="AF64" s="1634">
        <f aca="true" t="shared" si="36" ref="AF64:AF68">AD64/Y64</f>
        <v>0</v>
      </c>
      <c r="AG64" s="1634">
        <f aca="true" t="shared" si="37" ref="AG64:AG68">AF64</f>
        <v>0</v>
      </c>
      <c r="AH64" s="1640">
        <v>0</v>
      </c>
      <c r="AI64" s="1642"/>
      <c r="AJ64" s="1640"/>
      <c r="AK64" s="1642" t="s">
        <v>1911</v>
      </c>
      <c r="AL64" s="1642"/>
      <c r="AM64" s="1742">
        <f aca="true" t="shared" si="38" ref="AM64:AM68">SUM(M64:P64)</f>
        <v>0</v>
      </c>
      <c r="AN64" s="1729">
        <f t="shared" si="32"/>
        <v>0</v>
      </c>
      <c r="AO64" s="1728">
        <v>0</v>
      </c>
      <c r="AP64" s="1729">
        <v>0</v>
      </c>
      <c r="AQ64" s="1729">
        <f aca="true" t="shared" si="39" ref="AQ64:AQ68">AO64/Y64</f>
        <v>0</v>
      </c>
      <c r="AR64" s="1729">
        <v>0</v>
      </c>
      <c r="AS64" s="1749">
        <v>0</v>
      </c>
      <c r="AT64" s="1728"/>
      <c r="AU64" s="1728" t="s">
        <v>1911</v>
      </c>
      <c r="AV64" s="1728"/>
      <c r="AW64" s="2196">
        <f aca="true" t="shared" si="40" ref="AW64:AW68">SUM(M64:R64)</f>
        <v>0</v>
      </c>
      <c r="AX64" s="2218">
        <f t="shared" si="33"/>
        <v>0</v>
      </c>
      <c r="AY64" s="2196">
        <v>0</v>
      </c>
      <c r="AZ64" s="2218" t="s">
        <v>1090</v>
      </c>
      <c r="BA64" s="795"/>
      <c r="BB64" s="2218">
        <v>0</v>
      </c>
      <c r="BC64" s="2308">
        <v>0</v>
      </c>
      <c r="BD64" s="795" t="s">
        <v>1090</v>
      </c>
      <c r="BE64" s="2196" t="s">
        <v>2828</v>
      </c>
      <c r="BF64" s="795"/>
      <c r="BG64" s="2392">
        <f aca="true" t="shared" si="41" ref="BG64:BG68">SUM(M64:T64)</f>
        <v>0</v>
      </c>
      <c r="BH64" s="2391">
        <f t="shared" si="34"/>
        <v>0</v>
      </c>
      <c r="BI64" s="2392" t="s">
        <v>1090</v>
      </c>
      <c r="BJ64" s="2391" t="s">
        <v>1090</v>
      </c>
      <c r="BK64" s="2393"/>
      <c r="BL64" s="2391">
        <v>0.1</v>
      </c>
      <c r="BM64" s="2394"/>
      <c r="BN64" s="2393"/>
      <c r="BO64" s="2392" t="s">
        <v>2828</v>
      </c>
      <c r="BP64" s="2393"/>
    </row>
    <row r="65" spans="1:68" s="796" customFormat="1" ht="69" thickBot="1">
      <c r="A65" s="2545"/>
      <c r="B65" s="2545"/>
      <c r="C65" s="2753"/>
      <c r="D65" s="916" t="s">
        <v>1435</v>
      </c>
      <c r="E65" s="889" t="s">
        <v>1436</v>
      </c>
      <c r="F65" s="889">
        <v>1</v>
      </c>
      <c r="G65" s="889" t="s">
        <v>1433</v>
      </c>
      <c r="H65" s="889" t="s">
        <v>1614</v>
      </c>
      <c r="I65" s="992">
        <v>0.4</v>
      </c>
      <c r="J65" s="889" t="s">
        <v>1434</v>
      </c>
      <c r="K65" s="910">
        <v>42036</v>
      </c>
      <c r="L65" s="910">
        <v>42216</v>
      </c>
      <c r="M65" s="974"/>
      <c r="N65" s="974"/>
      <c r="O65" s="974"/>
      <c r="P65" s="974"/>
      <c r="Q65" s="974"/>
      <c r="R65" s="974"/>
      <c r="S65" s="974"/>
      <c r="T65" s="991"/>
      <c r="U65" s="990"/>
      <c r="V65" s="989">
        <v>1</v>
      </c>
      <c r="W65" s="989"/>
      <c r="X65" s="989"/>
      <c r="Y65" s="1002">
        <f aca="true" t="shared" si="42" ref="Y65:Y68">SUM(M65:X65)</f>
        <v>1</v>
      </c>
      <c r="Z65" s="1001">
        <v>2000000000</v>
      </c>
      <c r="AA65" s="850" t="s">
        <v>1090</v>
      </c>
      <c r="AB65" s="1638">
        <f t="shared" si="35"/>
        <v>0</v>
      </c>
      <c r="AC65" s="1634">
        <f t="shared" si="31"/>
        <v>0</v>
      </c>
      <c r="AD65" s="1639">
        <v>0</v>
      </c>
      <c r="AE65" s="1634" t="s">
        <v>1090</v>
      </c>
      <c r="AF65" s="1634">
        <f t="shared" si="36"/>
        <v>0</v>
      </c>
      <c r="AG65" s="1634">
        <f t="shared" si="37"/>
        <v>0</v>
      </c>
      <c r="AH65" s="1640">
        <v>0.58</v>
      </c>
      <c r="AI65" s="1642"/>
      <c r="AJ65" s="1640"/>
      <c r="AK65" s="1642" t="s">
        <v>1912</v>
      </c>
      <c r="AL65" s="1642"/>
      <c r="AM65" s="1742">
        <f t="shared" si="38"/>
        <v>0</v>
      </c>
      <c r="AN65" s="1729">
        <f t="shared" si="32"/>
        <v>0</v>
      </c>
      <c r="AO65" s="1728">
        <v>0</v>
      </c>
      <c r="AP65" s="1729">
        <v>0.75</v>
      </c>
      <c r="AQ65" s="1729">
        <f t="shared" si="39"/>
        <v>0</v>
      </c>
      <c r="AR65" s="1729">
        <v>0</v>
      </c>
      <c r="AS65" s="1749">
        <v>0</v>
      </c>
      <c r="AT65" s="1728"/>
      <c r="AU65" s="1728" t="s">
        <v>2238</v>
      </c>
      <c r="AV65" s="1728"/>
      <c r="AW65" s="2196">
        <f t="shared" si="40"/>
        <v>0</v>
      </c>
      <c r="AX65" s="2218">
        <f t="shared" si="33"/>
        <v>0</v>
      </c>
      <c r="AY65" s="2196">
        <v>0</v>
      </c>
      <c r="AZ65" s="2218" t="s">
        <v>1090</v>
      </c>
      <c r="BA65" s="795"/>
      <c r="BB65" s="2218">
        <v>0</v>
      </c>
      <c r="BC65" s="2308">
        <v>0</v>
      </c>
      <c r="BD65" s="795" t="s">
        <v>1090</v>
      </c>
      <c r="BE65" s="2196" t="s">
        <v>2238</v>
      </c>
      <c r="BF65" s="795"/>
      <c r="BG65" s="2392">
        <f t="shared" si="41"/>
        <v>0</v>
      </c>
      <c r="BH65" s="2391">
        <f t="shared" si="34"/>
        <v>0</v>
      </c>
      <c r="BI65" s="2392" t="s">
        <v>1090</v>
      </c>
      <c r="BJ65" s="2391" t="s">
        <v>1090</v>
      </c>
      <c r="BK65" s="2393"/>
      <c r="BL65" s="2391">
        <v>0</v>
      </c>
      <c r="BM65" s="2394"/>
      <c r="BN65" s="2393"/>
      <c r="BO65" s="2392" t="s">
        <v>2238</v>
      </c>
      <c r="BP65" s="2393"/>
    </row>
    <row r="66" spans="1:68" s="796" customFormat="1" ht="49.5" customHeight="1" thickBot="1">
      <c r="A66" s="2545"/>
      <c r="B66" s="2545"/>
      <c r="C66" s="862" t="s">
        <v>1437</v>
      </c>
      <c r="D66" s="1000" t="s">
        <v>1438</v>
      </c>
      <c r="E66" s="998" t="s">
        <v>1439</v>
      </c>
      <c r="F66" s="999">
        <v>56</v>
      </c>
      <c r="G66" s="998" t="s">
        <v>1440</v>
      </c>
      <c r="H66" s="997" t="s">
        <v>1380</v>
      </c>
      <c r="I66" s="939">
        <v>0.25</v>
      </c>
      <c r="J66" s="996" t="s">
        <v>1441</v>
      </c>
      <c r="K66" s="937">
        <v>42005</v>
      </c>
      <c r="L66" s="937">
        <v>42369</v>
      </c>
      <c r="M66" s="932"/>
      <c r="N66" s="932">
        <v>4</v>
      </c>
      <c r="O66" s="932">
        <v>4</v>
      </c>
      <c r="P66" s="932">
        <v>4</v>
      </c>
      <c r="Q66" s="932">
        <v>4</v>
      </c>
      <c r="R66" s="932">
        <v>4</v>
      </c>
      <c r="S66" s="932">
        <v>6</v>
      </c>
      <c r="T66" s="932">
        <v>6</v>
      </c>
      <c r="U66" s="932">
        <v>6</v>
      </c>
      <c r="V66" s="932">
        <v>6</v>
      </c>
      <c r="W66" s="932">
        <v>6</v>
      </c>
      <c r="X66" s="932">
        <v>6</v>
      </c>
      <c r="Y66" s="995">
        <f t="shared" si="42"/>
        <v>56</v>
      </c>
      <c r="Z66" s="917">
        <v>0</v>
      </c>
      <c r="AA66" s="850" t="s">
        <v>1090</v>
      </c>
      <c r="AB66" s="1638">
        <f t="shared" si="35"/>
        <v>4</v>
      </c>
      <c r="AC66" s="1634">
        <f t="shared" si="31"/>
        <v>1</v>
      </c>
      <c r="AD66" s="1639">
        <v>4</v>
      </c>
      <c r="AE66" s="1634">
        <f aca="true" t="shared" si="43" ref="AE66">AD66/AB66</f>
        <v>1</v>
      </c>
      <c r="AF66" s="1634">
        <f t="shared" si="36"/>
        <v>0.07142857142857142</v>
      </c>
      <c r="AG66" s="1634">
        <f t="shared" si="37"/>
        <v>0.07142857142857142</v>
      </c>
      <c r="AH66" s="1640">
        <v>1</v>
      </c>
      <c r="AI66" s="1642"/>
      <c r="AJ66" s="1642"/>
      <c r="AK66" s="1642" t="s">
        <v>1913</v>
      </c>
      <c r="AL66" s="1642"/>
      <c r="AM66" s="1742">
        <f t="shared" si="38"/>
        <v>12</v>
      </c>
      <c r="AN66" s="1729">
        <f t="shared" si="32"/>
        <v>1</v>
      </c>
      <c r="AO66" s="1728">
        <v>8</v>
      </c>
      <c r="AP66" s="1729">
        <v>1</v>
      </c>
      <c r="AQ66" s="1729">
        <f t="shared" si="39"/>
        <v>0.14285714285714285</v>
      </c>
      <c r="AR66" s="1729">
        <f aca="true" t="shared" si="44" ref="AR66:AR89">IF(AN66&gt;0,AP66,"-")</f>
        <v>1</v>
      </c>
      <c r="AS66" s="1749">
        <v>0</v>
      </c>
      <c r="AT66" s="1728"/>
      <c r="AU66" s="1728" t="s">
        <v>1913</v>
      </c>
      <c r="AV66" s="1728"/>
      <c r="AW66" s="2196">
        <f t="shared" si="40"/>
        <v>20</v>
      </c>
      <c r="AX66" s="2218">
        <f t="shared" si="33"/>
        <v>1</v>
      </c>
      <c r="AY66" s="2196">
        <v>20</v>
      </c>
      <c r="AZ66" s="2218">
        <v>1</v>
      </c>
      <c r="BA66" s="795"/>
      <c r="BB66" s="2218">
        <f>AY66/Y66</f>
        <v>0.35714285714285715</v>
      </c>
      <c r="BC66" s="2308">
        <v>0</v>
      </c>
      <c r="BD66" s="795" t="s">
        <v>1090</v>
      </c>
      <c r="BE66" s="2196" t="s">
        <v>1913</v>
      </c>
      <c r="BF66" s="795"/>
      <c r="BG66" s="2392">
        <f t="shared" si="41"/>
        <v>32</v>
      </c>
      <c r="BH66" s="2391">
        <f t="shared" si="34"/>
        <v>1</v>
      </c>
      <c r="BI66" s="2392">
        <v>32</v>
      </c>
      <c r="BJ66" s="2391">
        <v>1</v>
      </c>
      <c r="BK66" s="2393"/>
      <c r="BL66" s="2391">
        <f>BI66/Y66</f>
        <v>0.5714285714285714</v>
      </c>
      <c r="BM66" s="2394"/>
      <c r="BN66" s="2393"/>
      <c r="BO66" s="2392" t="s">
        <v>1913</v>
      </c>
      <c r="BP66" s="2393"/>
    </row>
    <row r="67" spans="1:68" s="796" customFormat="1" ht="102.75" thickBot="1">
      <c r="A67" s="2545"/>
      <c r="B67" s="2545"/>
      <c r="C67" s="862" t="s">
        <v>1442</v>
      </c>
      <c r="D67" s="994" t="s">
        <v>1613</v>
      </c>
      <c r="E67" s="972" t="s">
        <v>1612</v>
      </c>
      <c r="F67" s="972">
        <v>1</v>
      </c>
      <c r="G67" s="972" t="s">
        <v>1443</v>
      </c>
      <c r="H67" s="972" t="s">
        <v>1611</v>
      </c>
      <c r="I67" s="927">
        <v>0.05</v>
      </c>
      <c r="J67" s="972" t="s">
        <v>1610</v>
      </c>
      <c r="K67" s="910">
        <v>42037</v>
      </c>
      <c r="L67" s="910">
        <v>42353</v>
      </c>
      <c r="M67" s="870"/>
      <c r="N67" s="870"/>
      <c r="O67" s="870"/>
      <c r="P67" s="870"/>
      <c r="Q67" s="870"/>
      <c r="R67" s="870"/>
      <c r="S67" s="870"/>
      <c r="T67" s="870"/>
      <c r="U67" s="870"/>
      <c r="V67" s="870"/>
      <c r="W67" s="870"/>
      <c r="X67" s="870">
        <v>1</v>
      </c>
      <c r="Y67" s="962">
        <f t="shared" si="42"/>
        <v>1</v>
      </c>
      <c r="Z67" s="868">
        <v>10000000</v>
      </c>
      <c r="AA67" s="850" t="s">
        <v>1090</v>
      </c>
      <c r="AB67" s="1638">
        <f t="shared" si="35"/>
        <v>0</v>
      </c>
      <c r="AC67" s="1634">
        <f t="shared" si="31"/>
        <v>0</v>
      </c>
      <c r="AD67" s="1639">
        <v>0</v>
      </c>
      <c r="AE67" s="1634" t="s">
        <v>1090</v>
      </c>
      <c r="AF67" s="1634">
        <f t="shared" si="36"/>
        <v>0</v>
      </c>
      <c r="AG67" s="1634">
        <f t="shared" si="37"/>
        <v>0</v>
      </c>
      <c r="AH67" s="1640">
        <v>0.15</v>
      </c>
      <c r="AI67" s="1642"/>
      <c r="AJ67" s="1642"/>
      <c r="AK67" s="1642" t="s">
        <v>1914</v>
      </c>
      <c r="AL67" s="1642"/>
      <c r="AM67" s="1742">
        <f t="shared" si="38"/>
        <v>0</v>
      </c>
      <c r="AN67" s="1729">
        <f t="shared" si="32"/>
        <v>0</v>
      </c>
      <c r="AO67" s="1728">
        <v>0</v>
      </c>
      <c r="AP67" s="1729">
        <v>0.1</v>
      </c>
      <c r="AQ67" s="1729">
        <f t="shared" si="39"/>
        <v>0</v>
      </c>
      <c r="AR67" s="1729">
        <v>0</v>
      </c>
      <c r="AS67" s="1749">
        <v>0</v>
      </c>
      <c r="AT67" s="1728"/>
      <c r="AU67" s="1728" t="s">
        <v>2239</v>
      </c>
      <c r="AV67" s="1728"/>
      <c r="AW67" s="2196">
        <f t="shared" si="40"/>
        <v>0</v>
      </c>
      <c r="AX67" s="2218">
        <f t="shared" si="33"/>
        <v>0</v>
      </c>
      <c r="AY67" s="2196">
        <v>0</v>
      </c>
      <c r="AZ67" s="2218" t="s">
        <v>1090</v>
      </c>
      <c r="BA67" s="795"/>
      <c r="BB67" s="2218">
        <v>0</v>
      </c>
      <c r="BC67" s="2308">
        <v>0</v>
      </c>
      <c r="BD67" s="795" t="s">
        <v>1090</v>
      </c>
      <c r="BE67" s="2194" t="s">
        <v>2829</v>
      </c>
      <c r="BF67" s="795"/>
      <c r="BG67" s="2392">
        <f t="shared" si="41"/>
        <v>0</v>
      </c>
      <c r="BH67" s="2391">
        <f t="shared" si="34"/>
        <v>0</v>
      </c>
      <c r="BI67" s="2392" t="s">
        <v>1090</v>
      </c>
      <c r="BJ67" s="2391" t="s">
        <v>1090</v>
      </c>
      <c r="BK67" s="2393"/>
      <c r="BL67" s="2391">
        <v>0.5</v>
      </c>
      <c r="BM67" s="2394"/>
      <c r="BN67" s="2393"/>
      <c r="BO67" s="2403" t="s">
        <v>2829</v>
      </c>
      <c r="BP67" s="2393"/>
    </row>
    <row r="68" spans="1:68" s="796" customFormat="1" ht="64.5" thickBot="1">
      <c r="A68" s="2545"/>
      <c r="B68" s="2545"/>
      <c r="C68" s="862" t="s">
        <v>1444</v>
      </c>
      <c r="D68" s="993" t="s">
        <v>1609</v>
      </c>
      <c r="E68" s="858" t="s">
        <v>331</v>
      </c>
      <c r="F68" s="858">
        <v>1</v>
      </c>
      <c r="G68" s="858" t="s">
        <v>1445</v>
      </c>
      <c r="H68" s="889" t="s">
        <v>1608</v>
      </c>
      <c r="I68" s="992">
        <v>0.1</v>
      </c>
      <c r="J68" s="889" t="s">
        <v>1446</v>
      </c>
      <c r="K68" s="910">
        <v>42037</v>
      </c>
      <c r="L68" s="910">
        <v>42093</v>
      </c>
      <c r="M68" s="973"/>
      <c r="N68" s="974"/>
      <c r="O68" s="974">
        <v>1</v>
      </c>
      <c r="P68" s="974"/>
      <c r="Q68" s="974"/>
      <c r="R68" s="974"/>
      <c r="S68" s="974"/>
      <c r="T68" s="991"/>
      <c r="U68" s="990"/>
      <c r="V68" s="989"/>
      <c r="W68" s="989"/>
      <c r="X68" s="988"/>
      <c r="Y68" s="962">
        <f t="shared" si="42"/>
        <v>1</v>
      </c>
      <c r="Z68" s="851">
        <v>278000000</v>
      </c>
      <c r="AA68" s="850" t="s">
        <v>1090</v>
      </c>
      <c r="AB68" s="1638">
        <f t="shared" si="35"/>
        <v>0</v>
      </c>
      <c r="AC68" s="1634">
        <f t="shared" si="31"/>
        <v>0</v>
      </c>
      <c r="AD68" s="1639">
        <v>0</v>
      </c>
      <c r="AE68" s="1634" t="s">
        <v>1090</v>
      </c>
      <c r="AF68" s="1634">
        <f t="shared" si="36"/>
        <v>0</v>
      </c>
      <c r="AG68" s="1634">
        <f t="shared" si="37"/>
        <v>0</v>
      </c>
      <c r="AH68" s="1640"/>
      <c r="AI68" s="1642"/>
      <c r="AJ68" s="1640"/>
      <c r="AK68" s="1642"/>
      <c r="AL68" s="1642"/>
      <c r="AM68" s="1742">
        <f t="shared" si="38"/>
        <v>1</v>
      </c>
      <c r="AN68" s="1729">
        <f t="shared" si="32"/>
        <v>1</v>
      </c>
      <c r="AO68" s="1728">
        <v>0</v>
      </c>
      <c r="AP68" s="1729">
        <v>0</v>
      </c>
      <c r="AQ68" s="1729">
        <f t="shared" si="39"/>
        <v>0</v>
      </c>
      <c r="AR68" s="1729">
        <f t="shared" si="44"/>
        <v>0</v>
      </c>
      <c r="AS68" s="1749">
        <v>0</v>
      </c>
      <c r="AT68" s="1728"/>
      <c r="AU68" s="1728"/>
      <c r="AV68" s="1728"/>
      <c r="AW68" s="2196">
        <f t="shared" si="40"/>
        <v>1</v>
      </c>
      <c r="AX68" s="2218">
        <f t="shared" si="33"/>
        <v>1</v>
      </c>
      <c r="AY68" s="2196">
        <v>1</v>
      </c>
      <c r="AZ68" s="2218">
        <v>1</v>
      </c>
      <c r="BA68" s="795"/>
      <c r="BB68" s="2218">
        <v>1</v>
      </c>
      <c r="BC68" s="2308">
        <v>0</v>
      </c>
      <c r="BD68" s="795" t="s">
        <v>1090</v>
      </c>
      <c r="BE68" s="2194" t="s">
        <v>2830</v>
      </c>
      <c r="BF68" s="795"/>
      <c r="BG68" s="2392">
        <f t="shared" si="41"/>
        <v>1</v>
      </c>
      <c r="BH68" s="2391">
        <f t="shared" si="34"/>
        <v>1</v>
      </c>
      <c r="BI68" s="2392">
        <v>1</v>
      </c>
      <c r="BJ68" s="2391">
        <v>1</v>
      </c>
      <c r="BK68" s="2393"/>
      <c r="BL68" s="2391">
        <v>1</v>
      </c>
      <c r="BM68" s="2394"/>
      <c r="BN68" s="2393"/>
      <c r="BO68" s="2403" t="s">
        <v>2830</v>
      </c>
      <c r="BP68" s="2393"/>
    </row>
    <row r="69" spans="1:68" s="842" customFormat="1" ht="20.1" customHeight="1" thickBot="1">
      <c r="A69" s="2556" t="s">
        <v>1607</v>
      </c>
      <c r="B69" s="2556"/>
      <c r="C69" s="2556"/>
      <c r="D69" s="2556"/>
      <c r="E69" s="848"/>
      <c r="F69" s="848"/>
      <c r="G69" s="848"/>
      <c r="H69" s="848"/>
      <c r="I69" s="849">
        <f>SUM(I63:I68)</f>
        <v>0.9</v>
      </c>
      <c r="J69" s="848"/>
      <c r="K69" s="848"/>
      <c r="L69" s="848"/>
      <c r="M69" s="848"/>
      <c r="N69" s="848"/>
      <c r="O69" s="848"/>
      <c r="P69" s="848"/>
      <c r="Q69" s="848"/>
      <c r="R69" s="848"/>
      <c r="S69" s="848"/>
      <c r="T69" s="848"/>
      <c r="U69" s="848"/>
      <c r="V69" s="848"/>
      <c r="W69" s="848"/>
      <c r="X69" s="848"/>
      <c r="Y69" s="848"/>
      <c r="Z69" s="847">
        <f>SUM(Z63:Z68)</f>
        <v>2603000000</v>
      </c>
      <c r="AA69" s="846"/>
      <c r="AB69" s="1538"/>
      <c r="AC69" s="1539">
        <f>AVERAGEIF(AC63:AC68,"&gt;0")</f>
        <v>1</v>
      </c>
      <c r="AD69" s="1540"/>
      <c r="AE69" s="1539">
        <f>AVERAGE(AE63:AE68)</f>
        <v>1</v>
      </c>
      <c r="AF69" s="1539"/>
      <c r="AG69" s="1539">
        <f>AVERAGE(AG63:AG68)</f>
        <v>0.011904761904761904</v>
      </c>
      <c r="AH69" s="987"/>
      <c r="AI69" s="987"/>
      <c r="AJ69" s="987"/>
      <c r="AK69" s="987"/>
      <c r="AL69" s="987"/>
      <c r="AM69" s="1734"/>
      <c r="AN69" s="1870">
        <f>AVERAGEIF(AN60:AN68,"&gt;0")</f>
        <v>1</v>
      </c>
      <c r="AO69" s="1734"/>
      <c r="AP69" s="1873">
        <f>AVERAGE(AP63:AP68)</f>
        <v>0.3416666666666666</v>
      </c>
      <c r="AQ69" s="1873"/>
      <c r="AR69" s="1873">
        <f>AVERAGE(AR63:AR68)</f>
        <v>0.16666666666666666</v>
      </c>
      <c r="AS69" s="1734"/>
      <c r="AT69" s="1734"/>
      <c r="AU69" s="1734"/>
      <c r="AV69" s="1734"/>
      <c r="AW69" s="2246"/>
      <c r="AX69" s="2253">
        <v>1</v>
      </c>
      <c r="AY69" s="986"/>
      <c r="AZ69" s="2257">
        <f>AVERAGE(AZ63:AZ68)</f>
        <v>1</v>
      </c>
      <c r="BA69" s="986"/>
      <c r="BB69" s="2253">
        <f>AVERAGE(BB63:BB68)</f>
        <v>0.2261904761904762</v>
      </c>
      <c r="BC69" s="986"/>
      <c r="BD69" s="986"/>
      <c r="BE69" s="986"/>
      <c r="BF69" s="986"/>
      <c r="BG69" s="2465">
        <v>1</v>
      </c>
      <c r="BH69" s="2253"/>
      <c r="BI69" s="986"/>
      <c r="BJ69" s="2257">
        <f>AVERAGE(BJ63:BJ68)</f>
        <v>1</v>
      </c>
      <c r="BK69" s="986"/>
      <c r="BL69" s="2464">
        <f>AVERAGE(BL63:BL68)</f>
        <v>0.4452380952380952</v>
      </c>
      <c r="BM69" s="986"/>
      <c r="BN69" s="986"/>
      <c r="BO69" s="986"/>
      <c r="BP69" s="986"/>
    </row>
    <row r="70" spans="1:68" s="796" customFormat="1" ht="41.25" customHeight="1" thickBot="1">
      <c r="A70" s="2545">
        <v>2</v>
      </c>
      <c r="B70" s="2545" t="s">
        <v>1447</v>
      </c>
      <c r="C70" s="2756" t="s">
        <v>1448</v>
      </c>
      <c r="D70" s="977" t="s">
        <v>1449</v>
      </c>
      <c r="E70" s="952" t="s">
        <v>1450</v>
      </c>
      <c r="F70" s="952" t="s">
        <v>505</v>
      </c>
      <c r="G70" s="952" t="s">
        <v>1451</v>
      </c>
      <c r="H70" s="889" t="s">
        <v>1369</v>
      </c>
      <c r="I70" s="927">
        <v>0.1</v>
      </c>
      <c r="J70" s="889" t="s">
        <v>1452</v>
      </c>
      <c r="K70" s="910">
        <v>42005</v>
      </c>
      <c r="L70" s="951">
        <v>42369</v>
      </c>
      <c r="M70" s="978"/>
      <c r="N70" s="985"/>
      <c r="O70" s="985"/>
      <c r="P70" s="985"/>
      <c r="Q70" s="985"/>
      <c r="R70" s="985"/>
      <c r="S70" s="985"/>
      <c r="T70" s="984"/>
      <c r="U70" s="983"/>
      <c r="V70" s="982"/>
      <c r="W70" s="982"/>
      <c r="X70" s="982"/>
      <c r="Y70" s="981" t="s">
        <v>1090</v>
      </c>
      <c r="Z70" s="917">
        <v>0</v>
      </c>
      <c r="AA70" s="850" t="s">
        <v>1090</v>
      </c>
      <c r="AB70" s="1638">
        <f t="shared" si="35"/>
        <v>0</v>
      </c>
      <c r="AC70" s="1634">
        <f t="shared" si="31"/>
        <v>0</v>
      </c>
      <c r="AD70" s="1639">
        <v>0</v>
      </c>
      <c r="AE70" s="1634" t="s">
        <v>1090</v>
      </c>
      <c r="AF70" s="1634" t="s">
        <v>1090</v>
      </c>
      <c r="AG70" s="1634" t="str">
        <f>AF70</f>
        <v>-</v>
      </c>
      <c r="AH70" s="1640"/>
      <c r="AI70" s="1642"/>
      <c r="AJ70" s="1640"/>
      <c r="AK70" s="1642"/>
      <c r="AL70" s="1642"/>
      <c r="AM70" s="1742">
        <f>SUM(M70:P70)</f>
        <v>0</v>
      </c>
      <c r="AN70" s="1729">
        <f t="shared" si="32"/>
        <v>0</v>
      </c>
      <c r="AO70" s="1728">
        <v>0</v>
      </c>
      <c r="AP70" s="1729">
        <v>1</v>
      </c>
      <c r="AQ70" s="1729" t="s">
        <v>1090</v>
      </c>
      <c r="AR70" s="1729" t="str">
        <f t="shared" si="44"/>
        <v>-</v>
      </c>
      <c r="AS70" s="1749">
        <v>0</v>
      </c>
      <c r="AT70" s="1728"/>
      <c r="AU70" s="1728" t="s">
        <v>2240</v>
      </c>
      <c r="AV70" s="1728"/>
      <c r="AW70" s="2196">
        <f>SUM(M70:R70)</f>
        <v>0</v>
      </c>
      <c r="AX70" s="2218">
        <f t="shared" si="33"/>
        <v>0</v>
      </c>
      <c r="AY70" s="2196" t="s">
        <v>1090</v>
      </c>
      <c r="AZ70" s="2218" t="s">
        <v>1090</v>
      </c>
      <c r="BA70" s="795"/>
      <c r="BB70" s="2218" t="s">
        <v>1090</v>
      </c>
      <c r="BC70" s="2308">
        <v>0</v>
      </c>
      <c r="BD70" s="795" t="s">
        <v>1090</v>
      </c>
      <c r="BE70" s="2196" t="s">
        <v>2831</v>
      </c>
      <c r="BF70" s="795"/>
      <c r="BG70" s="2392">
        <f>SUM(M70:T70)</f>
        <v>0</v>
      </c>
      <c r="BH70" s="2391">
        <f t="shared" si="34"/>
        <v>0</v>
      </c>
      <c r="BI70" s="2392" t="s">
        <v>1090</v>
      </c>
      <c r="BJ70" s="2391" t="s">
        <v>1090</v>
      </c>
      <c r="BK70" s="2393"/>
      <c r="BL70" s="2391" t="s">
        <v>1090</v>
      </c>
      <c r="BM70" s="2394"/>
      <c r="BN70" s="2393"/>
      <c r="BO70" s="2392" t="s">
        <v>2831</v>
      </c>
      <c r="BP70" s="2393"/>
    </row>
    <row r="71" spans="1:68" s="796" customFormat="1" ht="26.25" thickBot="1">
      <c r="A71" s="2545"/>
      <c r="B71" s="2545"/>
      <c r="C71" s="2756"/>
      <c r="D71" s="977" t="s">
        <v>1453</v>
      </c>
      <c r="E71" s="952" t="s">
        <v>1454</v>
      </c>
      <c r="F71" s="952" t="s">
        <v>505</v>
      </c>
      <c r="G71" s="952" t="s">
        <v>1455</v>
      </c>
      <c r="H71" s="889" t="s">
        <v>1606</v>
      </c>
      <c r="I71" s="927">
        <v>0.05</v>
      </c>
      <c r="J71" s="889" t="s">
        <v>1457</v>
      </c>
      <c r="K71" s="910">
        <v>42005</v>
      </c>
      <c r="L71" s="951">
        <v>42369</v>
      </c>
      <c r="M71" s="978">
        <v>1</v>
      </c>
      <c r="N71" s="978">
        <v>1</v>
      </c>
      <c r="O71" s="978">
        <v>1</v>
      </c>
      <c r="P71" s="978">
        <v>1</v>
      </c>
      <c r="Q71" s="978">
        <v>1</v>
      </c>
      <c r="R71" s="978">
        <v>1</v>
      </c>
      <c r="S71" s="978">
        <v>1</v>
      </c>
      <c r="T71" s="978">
        <v>1</v>
      </c>
      <c r="U71" s="978">
        <v>1</v>
      </c>
      <c r="V71" s="978">
        <v>1</v>
      </c>
      <c r="W71" s="978">
        <v>1</v>
      </c>
      <c r="X71" s="978">
        <v>1</v>
      </c>
      <c r="Y71" s="962">
        <f>SUM(M71:X71)</f>
        <v>12</v>
      </c>
      <c r="Z71" s="917">
        <v>0</v>
      </c>
      <c r="AA71" s="850" t="s">
        <v>1090</v>
      </c>
      <c r="AB71" s="1638">
        <f t="shared" si="35"/>
        <v>2</v>
      </c>
      <c r="AC71" s="1634">
        <f t="shared" si="31"/>
        <v>1</v>
      </c>
      <c r="AD71" s="1639">
        <v>2</v>
      </c>
      <c r="AE71" s="1634">
        <f aca="true" t="shared" si="45" ref="AE71:AE74">AD71/AB71</f>
        <v>1</v>
      </c>
      <c r="AF71" s="1634">
        <f aca="true" t="shared" si="46" ref="AF71:AF74">AD71/Y71</f>
        <v>0.16666666666666666</v>
      </c>
      <c r="AG71" s="1634">
        <f aca="true" t="shared" si="47" ref="AG71:AG78">AF71</f>
        <v>0.16666666666666666</v>
      </c>
      <c r="AH71" s="1640">
        <v>1</v>
      </c>
      <c r="AI71" s="1642"/>
      <c r="AJ71" s="1640"/>
      <c r="AK71" s="1642" t="s">
        <v>1915</v>
      </c>
      <c r="AL71" s="1642"/>
      <c r="AM71" s="1742">
        <f aca="true" t="shared" si="48" ref="AM71:AM78">SUM(M71:P71)</f>
        <v>4</v>
      </c>
      <c r="AN71" s="1729">
        <f t="shared" si="32"/>
        <v>1</v>
      </c>
      <c r="AO71" s="1728">
        <v>2</v>
      </c>
      <c r="AP71" s="1729">
        <v>1</v>
      </c>
      <c r="AQ71" s="1729">
        <f aca="true" t="shared" si="49" ref="AQ71:AQ74">AO71/Y71</f>
        <v>0.16666666666666666</v>
      </c>
      <c r="AR71" s="1729">
        <f t="shared" si="44"/>
        <v>1</v>
      </c>
      <c r="AS71" s="1749">
        <v>0</v>
      </c>
      <c r="AT71" s="1728"/>
      <c r="AU71" s="1728" t="s">
        <v>1915</v>
      </c>
      <c r="AV71" s="1728"/>
      <c r="AW71" s="2196">
        <f aca="true" t="shared" si="50" ref="AW71:AW78">SUM(M71:R71)</f>
        <v>6</v>
      </c>
      <c r="AX71" s="2218">
        <f t="shared" si="33"/>
        <v>1</v>
      </c>
      <c r="AY71" s="2196">
        <v>6</v>
      </c>
      <c r="AZ71" s="2218">
        <v>1</v>
      </c>
      <c r="BA71" s="795"/>
      <c r="BB71" s="2218">
        <v>0.5</v>
      </c>
      <c r="BC71" s="2308">
        <v>0</v>
      </c>
      <c r="BD71" s="795" t="s">
        <v>1090</v>
      </c>
      <c r="BE71" s="2196" t="s">
        <v>2832</v>
      </c>
      <c r="BF71" s="795"/>
      <c r="BG71" s="2392">
        <f aca="true" t="shared" si="51" ref="BG71:BG78">SUM(M71:T71)</f>
        <v>8</v>
      </c>
      <c r="BH71" s="2391">
        <f t="shared" si="34"/>
        <v>1</v>
      </c>
      <c r="BI71" s="2392">
        <v>8</v>
      </c>
      <c r="BJ71" s="2391">
        <v>1</v>
      </c>
      <c r="BK71" s="2393"/>
      <c r="BL71" s="2391">
        <f>BI71/Y71</f>
        <v>0.6666666666666666</v>
      </c>
      <c r="BM71" s="2394"/>
      <c r="BN71" s="2393"/>
      <c r="BO71" s="2392" t="s">
        <v>2832</v>
      </c>
      <c r="BP71" s="2393"/>
    </row>
    <row r="72" spans="1:68" s="796" customFormat="1" ht="51.75" thickBot="1">
      <c r="A72" s="2545"/>
      <c r="B72" s="2545"/>
      <c r="C72" s="2756"/>
      <c r="D72" s="980" t="s">
        <v>1605</v>
      </c>
      <c r="E72" s="979" t="s">
        <v>1604</v>
      </c>
      <c r="F72" s="979">
        <v>10</v>
      </c>
      <c r="G72" s="979" t="s">
        <v>1603</v>
      </c>
      <c r="H72" s="972" t="s">
        <v>1602</v>
      </c>
      <c r="I72" s="927">
        <v>0.2</v>
      </c>
      <c r="J72" s="972" t="s">
        <v>1601</v>
      </c>
      <c r="K72" s="910">
        <v>42005</v>
      </c>
      <c r="L72" s="951">
        <v>42369</v>
      </c>
      <c r="M72" s="978"/>
      <c r="N72" s="978"/>
      <c r="O72" s="978"/>
      <c r="P72" s="978"/>
      <c r="Q72" s="978"/>
      <c r="R72" s="978">
        <v>2</v>
      </c>
      <c r="S72" s="978"/>
      <c r="T72" s="978">
        <v>2</v>
      </c>
      <c r="U72" s="978"/>
      <c r="V72" s="978"/>
      <c r="W72" s="978"/>
      <c r="X72" s="978">
        <v>6</v>
      </c>
      <c r="Y72" s="962">
        <f>SUM(M72:X72)</f>
        <v>10</v>
      </c>
      <c r="Z72" s="917">
        <v>70000000</v>
      </c>
      <c r="AA72" s="850"/>
      <c r="AB72" s="1638">
        <f t="shared" si="35"/>
        <v>0</v>
      </c>
      <c r="AC72" s="1634">
        <f t="shared" si="31"/>
        <v>0</v>
      </c>
      <c r="AD72" s="1639">
        <v>0</v>
      </c>
      <c r="AE72" s="1634" t="s">
        <v>1090</v>
      </c>
      <c r="AF72" s="1634">
        <f t="shared" si="46"/>
        <v>0</v>
      </c>
      <c r="AG72" s="1634">
        <f t="shared" si="47"/>
        <v>0</v>
      </c>
      <c r="AH72" s="1640">
        <v>0.15</v>
      </c>
      <c r="AI72" s="1642"/>
      <c r="AJ72" s="1640"/>
      <c r="AK72" s="1642" t="s">
        <v>1916</v>
      </c>
      <c r="AL72" s="1642"/>
      <c r="AM72" s="1742">
        <f t="shared" si="48"/>
        <v>0</v>
      </c>
      <c r="AN72" s="1729">
        <f t="shared" si="32"/>
        <v>0</v>
      </c>
      <c r="AO72" s="1728">
        <v>0</v>
      </c>
      <c r="AP72" s="1729">
        <v>0.15</v>
      </c>
      <c r="AQ72" s="1729">
        <f t="shared" si="49"/>
        <v>0</v>
      </c>
      <c r="AR72" s="1729">
        <v>0</v>
      </c>
      <c r="AS72" s="1749">
        <v>0</v>
      </c>
      <c r="AT72" s="1728"/>
      <c r="AU72" s="1728" t="s">
        <v>1916</v>
      </c>
      <c r="AV72" s="1728"/>
      <c r="AW72" s="2196">
        <f t="shared" si="50"/>
        <v>2</v>
      </c>
      <c r="AX72" s="2218">
        <f t="shared" si="33"/>
        <v>1</v>
      </c>
      <c r="AY72" s="2196">
        <v>2</v>
      </c>
      <c r="AZ72" s="2218">
        <v>1</v>
      </c>
      <c r="BA72" s="795"/>
      <c r="BB72" s="2218">
        <f>AY72/Y72</f>
        <v>0.2</v>
      </c>
      <c r="BC72" s="2308">
        <v>0</v>
      </c>
      <c r="BD72" s="795" t="s">
        <v>1090</v>
      </c>
      <c r="BE72" s="2196" t="s">
        <v>1916</v>
      </c>
      <c r="BF72" s="795"/>
      <c r="BG72" s="2392">
        <f t="shared" si="51"/>
        <v>4</v>
      </c>
      <c r="BH72" s="2391">
        <f t="shared" si="34"/>
        <v>1</v>
      </c>
      <c r="BI72" s="2392">
        <v>4</v>
      </c>
      <c r="BJ72" s="2391">
        <v>1</v>
      </c>
      <c r="BK72" s="2393"/>
      <c r="BL72" s="2391">
        <f>BI72/Y72</f>
        <v>0.4</v>
      </c>
      <c r="BM72" s="2394"/>
      <c r="BN72" s="2393"/>
      <c r="BO72" s="2392" t="s">
        <v>1916</v>
      </c>
      <c r="BP72" s="2393"/>
    </row>
    <row r="73" spans="1:68" s="796" customFormat="1" ht="64.5" thickBot="1">
      <c r="A73" s="2545"/>
      <c r="B73" s="2545"/>
      <c r="C73" s="2756"/>
      <c r="D73" s="977" t="s">
        <v>1458</v>
      </c>
      <c r="E73" s="952" t="s">
        <v>62</v>
      </c>
      <c r="F73" s="976" t="s">
        <v>1462</v>
      </c>
      <c r="G73" s="952" t="s">
        <v>1459</v>
      </c>
      <c r="H73" s="889" t="s">
        <v>1460</v>
      </c>
      <c r="I73" s="927">
        <v>0.05</v>
      </c>
      <c r="J73" s="889" t="s">
        <v>1461</v>
      </c>
      <c r="K73" s="910">
        <v>42005</v>
      </c>
      <c r="L73" s="951">
        <v>42369</v>
      </c>
      <c r="M73" s="975" t="s">
        <v>1462</v>
      </c>
      <c r="N73" s="975" t="s">
        <v>1462</v>
      </c>
      <c r="O73" s="975" t="s">
        <v>1462</v>
      </c>
      <c r="P73" s="975" t="s">
        <v>1462</v>
      </c>
      <c r="Q73" s="975" t="s">
        <v>1462</v>
      </c>
      <c r="R73" s="975" t="s">
        <v>1462</v>
      </c>
      <c r="S73" s="975" t="s">
        <v>1462</v>
      </c>
      <c r="T73" s="975" t="s">
        <v>1462</v>
      </c>
      <c r="U73" s="975" t="s">
        <v>1462</v>
      </c>
      <c r="V73" s="975" t="s">
        <v>1462</v>
      </c>
      <c r="W73" s="975" t="s">
        <v>1462</v>
      </c>
      <c r="X73" s="975" t="s">
        <v>1462</v>
      </c>
      <c r="Y73" s="962" t="s">
        <v>1462</v>
      </c>
      <c r="Z73" s="917">
        <v>0</v>
      </c>
      <c r="AA73" s="850" t="s">
        <v>1090</v>
      </c>
      <c r="AB73" s="1638">
        <f t="shared" si="35"/>
        <v>0</v>
      </c>
      <c r="AC73" s="1634">
        <f t="shared" si="31"/>
        <v>0</v>
      </c>
      <c r="AD73" s="1639">
        <v>0</v>
      </c>
      <c r="AE73" s="1634" t="s">
        <v>1090</v>
      </c>
      <c r="AF73" s="1634" t="s">
        <v>1090</v>
      </c>
      <c r="AG73" s="1634" t="str">
        <f t="shared" si="47"/>
        <v>-</v>
      </c>
      <c r="AH73" s="1640">
        <v>1</v>
      </c>
      <c r="AI73" s="1642"/>
      <c r="AJ73" s="1640"/>
      <c r="AK73" s="1642" t="s">
        <v>1917</v>
      </c>
      <c r="AL73" s="1642"/>
      <c r="AM73" s="1742">
        <f t="shared" si="48"/>
        <v>0</v>
      </c>
      <c r="AN73" s="1729">
        <f t="shared" si="32"/>
        <v>0</v>
      </c>
      <c r="AO73" s="1728">
        <v>0</v>
      </c>
      <c r="AP73" s="1729">
        <v>1</v>
      </c>
      <c r="AQ73" s="1729" t="s">
        <v>1090</v>
      </c>
      <c r="AR73" s="1729">
        <v>0</v>
      </c>
      <c r="AS73" s="1749">
        <v>0</v>
      </c>
      <c r="AT73" s="1728"/>
      <c r="AU73" s="1728" t="s">
        <v>1917</v>
      </c>
      <c r="AV73" s="1728"/>
      <c r="AW73" s="2196">
        <f t="shared" si="50"/>
        <v>0</v>
      </c>
      <c r="AX73" s="2218">
        <f t="shared" si="33"/>
        <v>0</v>
      </c>
      <c r="AY73" s="2258">
        <v>1</v>
      </c>
      <c r="AZ73" s="2218">
        <v>1</v>
      </c>
      <c r="BA73" s="795"/>
      <c r="BB73" s="2218">
        <v>0.5</v>
      </c>
      <c r="BC73" s="2308">
        <v>0</v>
      </c>
      <c r="BD73" s="795" t="s">
        <v>1090</v>
      </c>
      <c r="BE73" s="2196" t="s">
        <v>1917</v>
      </c>
      <c r="BF73" s="795"/>
      <c r="BG73" s="2392">
        <f t="shared" si="51"/>
        <v>0</v>
      </c>
      <c r="BH73" s="2391">
        <f t="shared" si="34"/>
        <v>0</v>
      </c>
      <c r="BI73" s="2404">
        <v>1</v>
      </c>
      <c r="BJ73" s="2391">
        <v>1</v>
      </c>
      <c r="BK73" s="2393"/>
      <c r="BL73" s="2391">
        <v>1</v>
      </c>
      <c r="BM73" s="2394"/>
      <c r="BN73" s="2393"/>
      <c r="BO73" s="2392" t="s">
        <v>1917</v>
      </c>
      <c r="BP73" s="2393"/>
    </row>
    <row r="74" spans="1:68" s="796" customFormat="1" ht="26.25" thickBot="1">
      <c r="A74" s="2545"/>
      <c r="B74" s="2545"/>
      <c r="C74" s="2756"/>
      <c r="D74" s="861" t="s">
        <v>1463</v>
      </c>
      <c r="E74" s="952" t="s">
        <v>389</v>
      </c>
      <c r="F74" s="952">
        <v>12</v>
      </c>
      <c r="G74" s="952" t="s">
        <v>1464</v>
      </c>
      <c r="H74" s="889" t="s">
        <v>1456</v>
      </c>
      <c r="I74" s="927">
        <v>0.05</v>
      </c>
      <c r="J74" s="889" t="s">
        <v>1465</v>
      </c>
      <c r="K74" s="910">
        <v>42005</v>
      </c>
      <c r="L74" s="951">
        <v>42369</v>
      </c>
      <c r="M74" s="974">
        <v>1</v>
      </c>
      <c r="N74" s="973">
        <v>1</v>
      </c>
      <c r="O74" s="973">
        <v>1</v>
      </c>
      <c r="P74" s="973">
        <v>1</v>
      </c>
      <c r="Q74" s="973">
        <v>1</v>
      </c>
      <c r="R74" s="973">
        <v>1</v>
      </c>
      <c r="S74" s="973">
        <v>1</v>
      </c>
      <c r="T74" s="973">
        <v>1</v>
      </c>
      <c r="U74" s="973">
        <v>1</v>
      </c>
      <c r="V74" s="973">
        <v>1</v>
      </c>
      <c r="W74" s="973">
        <v>1</v>
      </c>
      <c r="X74" s="973">
        <v>1</v>
      </c>
      <c r="Y74" s="962">
        <f>SUM(M74:X74)</f>
        <v>12</v>
      </c>
      <c r="Z74" s="868">
        <v>0</v>
      </c>
      <c r="AA74" s="850" t="s">
        <v>1090</v>
      </c>
      <c r="AB74" s="1638">
        <f t="shared" si="35"/>
        <v>2</v>
      </c>
      <c r="AC74" s="1634">
        <f t="shared" si="31"/>
        <v>1</v>
      </c>
      <c r="AD74" s="1639">
        <v>2</v>
      </c>
      <c r="AE74" s="1634">
        <f t="shared" si="45"/>
        <v>1</v>
      </c>
      <c r="AF74" s="1634">
        <f t="shared" si="46"/>
        <v>0.16666666666666666</v>
      </c>
      <c r="AG74" s="1634">
        <f t="shared" si="47"/>
        <v>0.16666666666666666</v>
      </c>
      <c r="AH74" s="1640">
        <v>1</v>
      </c>
      <c r="AI74" s="1642"/>
      <c r="AJ74" s="1640"/>
      <c r="AK74" s="1642" t="s">
        <v>1917</v>
      </c>
      <c r="AL74" s="1642"/>
      <c r="AM74" s="1742">
        <f t="shared" si="48"/>
        <v>4</v>
      </c>
      <c r="AN74" s="1729">
        <f t="shared" si="32"/>
        <v>1</v>
      </c>
      <c r="AO74" s="1728">
        <v>2</v>
      </c>
      <c r="AP74" s="1729">
        <v>1</v>
      </c>
      <c r="AQ74" s="1729">
        <f t="shared" si="49"/>
        <v>0.16666666666666666</v>
      </c>
      <c r="AR74" s="1729">
        <f t="shared" si="44"/>
        <v>1</v>
      </c>
      <c r="AS74" s="1749">
        <v>0</v>
      </c>
      <c r="AT74" s="1728"/>
      <c r="AU74" s="1728" t="s">
        <v>1917</v>
      </c>
      <c r="AV74" s="1728"/>
      <c r="AW74" s="2196">
        <f t="shared" si="50"/>
        <v>6</v>
      </c>
      <c r="AX74" s="2218">
        <f t="shared" si="33"/>
        <v>1</v>
      </c>
      <c r="AY74" s="2196">
        <v>6</v>
      </c>
      <c r="AZ74" s="2218">
        <v>1</v>
      </c>
      <c r="BA74" s="795"/>
      <c r="BB74" s="2218">
        <v>0.5</v>
      </c>
      <c r="BC74" s="2308">
        <v>0</v>
      </c>
      <c r="BD74" s="795" t="s">
        <v>1090</v>
      </c>
      <c r="BE74" s="2196" t="s">
        <v>1917</v>
      </c>
      <c r="BF74" s="795"/>
      <c r="BG74" s="2392">
        <f t="shared" si="51"/>
        <v>8</v>
      </c>
      <c r="BH74" s="2391">
        <f t="shared" si="34"/>
        <v>1</v>
      </c>
      <c r="BI74" s="2392">
        <v>8</v>
      </c>
      <c r="BJ74" s="2391">
        <v>1</v>
      </c>
      <c r="BK74" s="2393"/>
      <c r="BL74" s="2391">
        <f>BI74/Y74</f>
        <v>0.6666666666666666</v>
      </c>
      <c r="BM74" s="2394"/>
      <c r="BN74" s="2393"/>
      <c r="BO74" s="2392" t="s">
        <v>1917</v>
      </c>
      <c r="BP74" s="2393"/>
    </row>
    <row r="75" spans="1:68" s="796" customFormat="1" ht="39" thickBot="1">
      <c r="A75" s="2545"/>
      <c r="B75" s="2545"/>
      <c r="C75" s="2756"/>
      <c r="D75" s="953" t="s">
        <v>1466</v>
      </c>
      <c r="E75" s="952" t="s">
        <v>1467</v>
      </c>
      <c r="F75" s="952" t="s">
        <v>505</v>
      </c>
      <c r="G75" s="952" t="s">
        <v>1468</v>
      </c>
      <c r="H75" s="889" t="s">
        <v>1469</v>
      </c>
      <c r="I75" s="927">
        <v>0.1</v>
      </c>
      <c r="J75" s="889" t="s">
        <v>1470</v>
      </c>
      <c r="K75" s="910">
        <v>42005</v>
      </c>
      <c r="L75" s="951">
        <v>42369</v>
      </c>
      <c r="M75" s="967"/>
      <c r="N75" s="967"/>
      <c r="O75" s="967"/>
      <c r="P75" s="967"/>
      <c r="Q75" s="967"/>
      <c r="R75" s="967"/>
      <c r="S75" s="967"/>
      <c r="T75" s="973"/>
      <c r="U75" s="973"/>
      <c r="V75" s="967"/>
      <c r="W75" s="967"/>
      <c r="X75" s="967"/>
      <c r="Y75" s="962" t="s">
        <v>505</v>
      </c>
      <c r="Z75" s="868">
        <v>0</v>
      </c>
      <c r="AA75" s="850" t="s">
        <v>1090</v>
      </c>
      <c r="AB75" s="1638">
        <f t="shared" si="35"/>
        <v>0</v>
      </c>
      <c r="AC75" s="1634">
        <f t="shared" si="31"/>
        <v>0</v>
      </c>
      <c r="AD75" s="1639">
        <v>0</v>
      </c>
      <c r="AE75" s="1634" t="s">
        <v>1090</v>
      </c>
      <c r="AF75" s="1634" t="s">
        <v>1090</v>
      </c>
      <c r="AG75" s="1634" t="str">
        <f t="shared" si="47"/>
        <v>-</v>
      </c>
      <c r="AH75" s="1640"/>
      <c r="AI75" s="1642"/>
      <c r="AJ75" s="1640"/>
      <c r="AK75" s="1642" t="s">
        <v>1918</v>
      </c>
      <c r="AL75" s="1642"/>
      <c r="AM75" s="1742">
        <f t="shared" si="48"/>
        <v>0</v>
      </c>
      <c r="AN75" s="1729">
        <f t="shared" si="32"/>
        <v>0</v>
      </c>
      <c r="AO75" s="1728">
        <v>0</v>
      </c>
      <c r="AP75" s="1729">
        <v>1</v>
      </c>
      <c r="AQ75" s="1729" t="s">
        <v>1090</v>
      </c>
      <c r="AR75" s="1729" t="str">
        <f t="shared" si="44"/>
        <v>-</v>
      </c>
      <c r="AS75" s="1749">
        <v>0</v>
      </c>
      <c r="AT75" s="1728"/>
      <c r="AU75" s="1728" t="s">
        <v>2241</v>
      </c>
      <c r="AV75" s="1728"/>
      <c r="AW75" s="2196">
        <f t="shared" si="50"/>
        <v>0</v>
      </c>
      <c r="AX75" s="2218">
        <f t="shared" si="33"/>
        <v>0</v>
      </c>
      <c r="AY75" s="2196" t="s">
        <v>1090</v>
      </c>
      <c r="AZ75" s="2218" t="s">
        <v>1090</v>
      </c>
      <c r="BA75" s="795"/>
      <c r="BB75" s="2218" t="s">
        <v>1090</v>
      </c>
      <c r="BC75" s="2308">
        <v>0</v>
      </c>
      <c r="BD75" s="795" t="s">
        <v>1090</v>
      </c>
      <c r="BE75" s="2196" t="s">
        <v>2241</v>
      </c>
      <c r="BF75" s="795"/>
      <c r="BG75" s="2392">
        <f t="shared" si="51"/>
        <v>0</v>
      </c>
      <c r="BH75" s="2391">
        <f t="shared" si="34"/>
        <v>0</v>
      </c>
      <c r="BI75" s="2392" t="s">
        <v>1090</v>
      </c>
      <c r="BJ75" s="2391" t="s">
        <v>1090</v>
      </c>
      <c r="BK75" s="2393"/>
      <c r="BL75" s="2391" t="s">
        <v>1090</v>
      </c>
      <c r="BM75" s="2394"/>
      <c r="BN75" s="2393"/>
      <c r="BO75" s="2392" t="s">
        <v>2241</v>
      </c>
      <c r="BP75" s="2393"/>
    </row>
    <row r="76" spans="1:68" s="796" customFormat="1" ht="61.5" customHeight="1" thickBot="1">
      <c r="A76" s="2545"/>
      <c r="B76" s="2545"/>
      <c r="C76" s="2757" t="s">
        <v>1472</v>
      </c>
      <c r="D76" s="953" t="s">
        <v>1473</v>
      </c>
      <c r="E76" s="952" t="s">
        <v>1471</v>
      </c>
      <c r="F76" s="952" t="s">
        <v>505</v>
      </c>
      <c r="G76" s="952" t="s">
        <v>1474</v>
      </c>
      <c r="H76" s="889" t="s">
        <v>1354</v>
      </c>
      <c r="I76" s="927">
        <v>0.2</v>
      </c>
      <c r="J76" s="889" t="s">
        <v>1475</v>
      </c>
      <c r="K76" s="910">
        <v>42005</v>
      </c>
      <c r="L76" s="951">
        <v>42369</v>
      </c>
      <c r="M76" s="967"/>
      <c r="N76" s="967"/>
      <c r="O76" s="967"/>
      <c r="P76" s="967"/>
      <c r="Q76" s="967"/>
      <c r="R76" s="967"/>
      <c r="S76" s="967"/>
      <c r="T76" s="973"/>
      <c r="U76" s="973"/>
      <c r="V76" s="967"/>
      <c r="W76" s="967"/>
      <c r="X76" s="967"/>
      <c r="Y76" s="962" t="s">
        <v>505</v>
      </c>
      <c r="Z76" s="868">
        <v>0</v>
      </c>
      <c r="AA76" s="850" t="s">
        <v>1090</v>
      </c>
      <c r="AB76" s="1638">
        <f t="shared" si="35"/>
        <v>0</v>
      </c>
      <c r="AC76" s="1634">
        <f t="shared" si="31"/>
        <v>0</v>
      </c>
      <c r="AD76" s="1639">
        <v>0</v>
      </c>
      <c r="AE76" s="1634" t="s">
        <v>1090</v>
      </c>
      <c r="AF76" s="1634" t="s">
        <v>1090</v>
      </c>
      <c r="AG76" s="1634" t="str">
        <f t="shared" si="47"/>
        <v>-</v>
      </c>
      <c r="AH76" s="1640">
        <v>1</v>
      </c>
      <c r="AI76" s="1642"/>
      <c r="AJ76" s="1640"/>
      <c r="AK76" s="1642" t="s">
        <v>1919</v>
      </c>
      <c r="AL76" s="1642"/>
      <c r="AM76" s="1742">
        <f t="shared" si="48"/>
        <v>0</v>
      </c>
      <c r="AN76" s="1729">
        <f t="shared" si="32"/>
        <v>0</v>
      </c>
      <c r="AO76" s="1728">
        <v>0</v>
      </c>
      <c r="AP76" s="1729">
        <v>1</v>
      </c>
      <c r="AQ76" s="1729" t="s">
        <v>1090</v>
      </c>
      <c r="AR76" s="1729" t="str">
        <f t="shared" si="44"/>
        <v>-</v>
      </c>
      <c r="AS76" s="1749">
        <v>0</v>
      </c>
      <c r="AT76" s="1728"/>
      <c r="AU76" s="1728" t="s">
        <v>2242</v>
      </c>
      <c r="AV76" s="1728"/>
      <c r="AW76" s="2196">
        <f t="shared" si="50"/>
        <v>0</v>
      </c>
      <c r="AX76" s="2218">
        <f t="shared" si="33"/>
        <v>0</v>
      </c>
      <c r="AY76" s="2196" t="s">
        <v>1090</v>
      </c>
      <c r="AZ76" s="2218" t="s">
        <v>1090</v>
      </c>
      <c r="BA76" s="795"/>
      <c r="BB76" s="2218" t="s">
        <v>1090</v>
      </c>
      <c r="BC76" s="2308">
        <v>0</v>
      </c>
      <c r="BD76" s="795" t="s">
        <v>1090</v>
      </c>
      <c r="BE76" s="2196" t="s">
        <v>2242</v>
      </c>
      <c r="BF76" s="795"/>
      <c r="BG76" s="2392">
        <f t="shared" si="51"/>
        <v>0</v>
      </c>
      <c r="BH76" s="2391">
        <f t="shared" si="34"/>
        <v>0</v>
      </c>
      <c r="BI76" s="2392" t="s">
        <v>1090</v>
      </c>
      <c r="BJ76" s="2391" t="s">
        <v>1090</v>
      </c>
      <c r="BK76" s="2393"/>
      <c r="BL76" s="2391" t="s">
        <v>1090</v>
      </c>
      <c r="BM76" s="2394"/>
      <c r="BN76" s="2393"/>
      <c r="BO76" s="2392" t="s">
        <v>2242</v>
      </c>
      <c r="BP76" s="2393"/>
    </row>
    <row r="77" spans="1:68" s="796" customFormat="1" ht="61.5" customHeight="1" thickBot="1">
      <c r="A77" s="2545"/>
      <c r="B77" s="2545"/>
      <c r="C77" s="2757"/>
      <c r="D77" s="953" t="s">
        <v>1600</v>
      </c>
      <c r="E77" s="952" t="s">
        <v>1599</v>
      </c>
      <c r="F77" s="952" t="s">
        <v>505</v>
      </c>
      <c r="G77" s="952" t="s">
        <v>1464</v>
      </c>
      <c r="H77" s="972" t="s">
        <v>1598</v>
      </c>
      <c r="I77" s="927">
        <v>0.05</v>
      </c>
      <c r="J77" s="972" t="s">
        <v>1597</v>
      </c>
      <c r="K77" s="910">
        <v>42005</v>
      </c>
      <c r="L77" s="951">
        <v>42369</v>
      </c>
      <c r="M77" s="967"/>
      <c r="N77" s="967"/>
      <c r="O77" s="967"/>
      <c r="P77" s="967"/>
      <c r="Q77" s="967"/>
      <c r="R77" s="967"/>
      <c r="S77" s="967"/>
      <c r="T77" s="971"/>
      <c r="U77" s="967"/>
      <c r="V77" s="967"/>
      <c r="W77" s="967"/>
      <c r="X77" s="967"/>
      <c r="Y77" s="970" t="s">
        <v>505</v>
      </c>
      <c r="Z77" s="969">
        <v>0</v>
      </c>
      <c r="AA77" s="850"/>
      <c r="AB77" s="1638">
        <f t="shared" si="35"/>
        <v>0</v>
      </c>
      <c r="AC77" s="1634">
        <f t="shared" si="31"/>
        <v>0</v>
      </c>
      <c r="AD77" s="1639">
        <v>0</v>
      </c>
      <c r="AE77" s="1634" t="s">
        <v>1090</v>
      </c>
      <c r="AF77" s="1634" t="s">
        <v>1090</v>
      </c>
      <c r="AG77" s="1634" t="str">
        <f t="shared" si="47"/>
        <v>-</v>
      </c>
      <c r="AH77" s="1640">
        <v>1</v>
      </c>
      <c r="AI77" s="1642"/>
      <c r="AJ77" s="1640"/>
      <c r="AK77" s="1642" t="s">
        <v>1920</v>
      </c>
      <c r="AL77" s="1642"/>
      <c r="AM77" s="1742">
        <f t="shared" si="48"/>
        <v>0</v>
      </c>
      <c r="AN77" s="1729">
        <f t="shared" si="32"/>
        <v>0</v>
      </c>
      <c r="AO77" s="1728">
        <v>0</v>
      </c>
      <c r="AP77" s="1729">
        <v>1</v>
      </c>
      <c r="AQ77" s="1729" t="s">
        <v>1090</v>
      </c>
      <c r="AR77" s="1729" t="str">
        <f t="shared" si="44"/>
        <v>-</v>
      </c>
      <c r="AS77" s="1749">
        <v>0</v>
      </c>
      <c r="AT77" s="1728"/>
      <c r="AU77" s="1728" t="s">
        <v>2243</v>
      </c>
      <c r="AV77" s="1728"/>
      <c r="AW77" s="2196">
        <f t="shared" si="50"/>
        <v>0</v>
      </c>
      <c r="AX77" s="2218">
        <f t="shared" si="33"/>
        <v>0</v>
      </c>
      <c r="AY77" s="2196" t="s">
        <v>1090</v>
      </c>
      <c r="AZ77" s="2218" t="s">
        <v>1090</v>
      </c>
      <c r="BA77" s="795"/>
      <c r="BB77" s="2218" t="s">
        <v>1090</v>
      </c>
      <c r="BC77" s="2308">
        <v>0</v>
      </c>
      <c r="BD77" s="795" t="s">
        <v>1090</v>
      </c>
      <c r="BE77" s="2196" t="s">
        <v>2243</v>
      </c>
      <c r="BF77" s="795"/>
      <c r="BG77" s="2392">
        <f t="shared" si="51"/>
        <v>0</v>
      </c>
      <c r="BH77" s="2391">
        <f t="shared" si="34"/>
        <v>0</v>
      </c>
      <c r="BI77" s="2392" t="s">
        <v>1090</v>
      </c>
      <c r="BJ77" s="2391" t="s">
        <v>1090</v>
      </c>
      <c r="BK77" s="2393"/>
      <c r="BL77" s="2391" t="s">
        <v>1090</v>
      </c>
      <c r="BM77" s="2394"/>
      <c r="BN77" s="2393"/>
      <c r="BO77" s="2392" t="s">
        <v>2243</v>
      </c>
      <c r="BP77" s="2393"/>
    </row>
    <row r="78" spans="1:68" s="796" customFormat="1" ht="39" thickBot="1">
      <c r="A78" s="2545"/>
      <c r="B78" s="2545"/>
      <c r="C78" s="2757"/>
      <c r="D78" s="968" t="s">
        <v>1477</v>
      </c>
      <c r="E78" s="952" t="s">
        <v>1287</v>
      </c>
      <c r="F78" s="952" t="s">
        <v>505</v>
      </c>
      <c r="G78" s="952" t="s">
        <v>1478</v>
      </c>
      <c r="H78" s="889" t="s">
        <v>1596</v>
      </c>
      <c r="I78" s="927">
        <v>0.2</v>
      </c>
      <c r="J78" s="889" t="s">
        <v>1479</v>
      </c>
      <c r="K78" s="910">
        <v>42005</v>
      </c>
      <c r="L78" s="951">
        <v>42369</v>
      </c>
      <c r="M78" s="967"/>
      <c r="N78" s="966"/>
      <c r="O78" s="966"/>
      <c r="P78" s="966"/>
      <c r="Q78" s="966"/>
      <c r="R78" s="966"/>
      <c r="S78" s="966"/>
      <c r="T78" s="965"/>
      <c r="U78" s="964"/>
      <c r="V78" s="963"/>
      <c r="W78" s="963"/>
      <c r="X78" s="963"/>
      <c r="Y78" s="962" t="s">
        <v>505</v>
      </c>
      <c r="Z78" s="868">
        <v>0</v>
      </c>
      <c r="AA78" s="850" t="s">
        <v>1090</v>
      </c>
      <c r="AB78" s="1638">
        <f t="shared" si="35"/>
        <v>0</v>
      </c>
      <c r="AC78" s="1634">
        <f t="shared" si="31"/>
        <v>0</v>
      </c>
      <c r="AD78" s="1639">
        <v>0</v>
      </c>
      <c r="AE78" s="1634" t="s">
        <v>1090</v>
      </c>
      <c r="AF78" s="1634" t="s">
        <v>1090</v>
      </c>
      <c r="AG78" s="1634" t="str">
        <f t="shared" si="47"/>
        <v>-</v>
      </c>
      <c r="AH78" s="1640">
        <v>1</v>
      </c>
      <c r="AI78" s="1642"/>
      <c r="AJ78" s="1642"/>
      <c r="AK78" s="1642" t="s">
        <v>1921</v>
      </c>
      <c r="AL78" s="1642"/>
      <c r="AM78" s="1742">
        <f t="shared" si="48"/>
        <v>0</v>
      </c>
      <c r="AN78" s="1729">
        <f t="shared" si="32"/>
        <v>0</v>
      </c>
      <c r="AO78" s="1728">
        <v>0</v>
      </c>
      <c r="AP78" s="1729">
        <v>1</v>
      </c>
      <c r="AQ78" s="1729" t="s">
        <v>1090</v>
      </c>
      <c r="AR78" s="1729" t="str">
        <f t="shared" si="44"/>
        <v>-</v>
      </c>
      <c r="AS78" s="1749">
        <v>0</v>
      </c>
      <c r="AT78" s="1728"/>
      <c r="AU78" s="1728" t="s">
        <v>1921</v>
      </c>
      <c r="AV78" s="1728"/>
      <c r="AW78" s="2196">
        <f t="shared" si="50"/>
        <v>0</v>
      </c>
      <c r="AX78" s="2218">
        <f t="shared" si="33"/>
        <v>0</v>
      </c>
      <c r="AY78" s="2196" t="s">
        <v>1090</v>
      </c>
      <c r="AZ78" s="2218" t="s">
        <v>1090</v>
      </c>
      <c r="BA78" s="795"/>
      <c r="BB78" s="2218" t="s">
        <v>1090</v>
      </c>
      <c r="BC78" s="2308">
        <v>0</v>
      </c>
      <c r="BD78" s="795" t="s">
        <v>1090</v>
      </c>
      <c r="BE78" s="2196" t="s">
        <v>1921</v>
      </c>
      <c r="BF78" s="795"/>
      <c r="BG78" s="2392">
        <f t="shared" si="51"/>
        <v>0</v>
      </c>
      <c r="BH78" s="2391">
        <f t="shared" si="34"/>
        <v>0</v>
      </c>
      <c r="BI78" s="2392" t="s">
        <v>1090</v>
      </c>
      <c r="BJ78" s="2391" t="s">
        <v>1090</v>
      </c>
      <c r="BK78" s="2393"/>
      <c r="BL78" s="2391" t="s">
        <v>1090</v>
      </c>
      <c r="BM78" s="2394"/>
      <c r="BN78" s="2393"/>
      <c r="BO78" s="2392" t="s">
        <v>1921</v>
      </c>
      <c r="BP78" s="2393"/>
    </row>
    <row r="79" spans="1:68" s="842" customFormat="1" ht="20.1" customHeight="1" thickBot="1">
      <c r="A79" s="2556" t="s">
        <v>130</v>
      </c>
      <c r="B79" s="2556"/>
      <c r="C79" s="2556"/>
      <c r="D79" s="2556"/>
      <c r="E79" s="848"/>
      <c r="F79" s="848"/>
      <c r="G79" s="848"/>
      <c r="H79" s="848"/>
      <c r="I79" s="849">
        <f>SUM(I70:I78)</f>
        <v>1</v>
      </c>
      <c r="J79" s="848"/>
      <c r="K79" s="848"/>
      <c r="L79" s="848"/>
      <c r="M79" s="848"/>
      <c r="N79" s="848"/>
      <c r="O79" s="848"/>
      <c r="P79" s="848"/>
      <c r="Q79" s="848"/>
      <c r="R79" s="848"/>
      <c r="S79" s="848"/>
      <c r="T79" s="848"/>
      <c r="U79" s="848"/>
      <c r="V79" s="848"/>
      <c r="W79" s="848"/>
      <c r="X79" s="848"/>
      <c r="Y79" s="848"/>
      <c r="Z79" s="847">
        <f>SUM(Z70:Z78)</f>
        <v>70000000</v>
      </c>
      <c r="AA79" s="846"/>
      <c r="AB79" s="1531"/>
      <c r="AC79" s="1532">
        <f>AVERAGEIF(AC70:AC78,"&gt;0")</f>
        <v>1</v>
      </c>
      <c r="AD79" s="1533"/>
      <c r="AE79" s="1532">
        <f>AVERAGE(AE70:AE78)</f>
        <v>1</v>
      </c>
      <c r="AF79" s="1532"/>
      <c r="AG79" s="1532">
        <f>AVERAGE(AG70:AG78)</f>
        <v>0.1111111111111111</v>
      </c>
      <c r="AH79" s="845"/>
      <c r="AI79" s="845"/>
      <c r="AJ79" s="845"/>
      <c r="AK79" s="845"/>
      <c r="AL79" s="845"/>
      <c r="AM79" s="1732"/>
      <c r="AN79" s="1868">
        <f>AVERAGEIF(AN68:AN78,"&gt;0")</f>
        <v>1</v>
      </c>
      <c r="AO79" s="1732"/>
      <c r="AP79" s="1872">
        <f>AVERAGE(AP70:AP78)</f>
        <v>0.9055555555555556</v>
      </c>
      <c r="AQ79" s="1872"/>
      <c r="AR79" s="1872">
        <f>AVERAGE(AR70:AR78)</f>
        <v>0.5</v>
      </c>
      <c r="AS79" s="1732"/>
      <c r="AT79" s="1732"/>
      <c r="AU79" s="1732"/>
      <c r="AV79" s="1732"/>
      <c r="AW79" s="844"/>
      <c r="AX79" s="2252">
        <v>1</v>
      </c>
      <c r="AY79" s="844"/>
      <c r="AZ79" s="2255">
        <f>AVERAGE(AZ70:AZ78)</f>
        <v>1</v>
      </c>
      <c r="BA79" s="844"/>
      <c r="BB79" s="2252">
        <f>AVERAGE(BB70:BB78)</f>
        <v>0.425</v>
      </c>
      <c r="BC79" s="844"/>
      <c r="BD79" s="844"/>
      <c r="BE79" s="844"/>
      <c r="BF79" s="844"/>
      <c r="BG79" s="2465">
        <v>1</v>
      </c>
      <c r="BH79" s="2252"/>
      <c r="BI79" s="844"/>
      <c r="BJ79" s="2255">
        <f>AVERAGE(BJ70:BJ78)</f>
        <v>1</v>
      </c>
      <c r="BK79" s="844"/>
      <c r="BL79" s="2252">
        <f>AVERAGE(BL70:BL78)</f>
        <v>0.6833333333333332</v>
      </c>
      <c r="BM79" s="844"/>
      <c r="BN79" s="844"/>
      <c r="BO79" s="844"/>
      <c r="BP79" s="844"/>
    </row>
    <row r="80" spans="1:68" s="796" customFormat="1" ht="81.75" customHeight="1" thickBot="1">
      <c r="A80" s="2738">
        <v>3</v>
      </c>
      <c r="B80" s="2738" t="s">
        <v>1480</v>
      </c>
      <c r="C80" s="2753" t="s">
        <v>1481</v>
      </c>
      <c r="D80" s="953" t="s">
        <v>1482</v>
      </c>
      <c r="E80" s="952" t="s">
        <v>1454</v>
      </c>
      <c r="F80" s="952" t="s">
        <v>505</v>
      </c>
      <c r="G80" s="952" t="s">
        <v>1455</v>
      </c>
      <c r="H80" s="889" t="s">
        <v>1483</v>
      </c>
      <c r="I80" s="927">
        <v>0.05</v>
      </c>
      <c r="J80" s="889" t="s">
        <v>1484</v>
      </c>
      <c r="K80" s="910">
        <v>42005</v>
      </c>
      <c r="L80" s="951">
        <v>42369</v>
      </c>
      <c r="M80" s="961"/>
      <c r="N80" s="961"/>
      <c r="O80" s="961"/>
      <c r="P80" s="961"/>
      <c r="Q80" s="961"/>
      <c r="R80" s="961"/>
      <c r="S80" s="961"/>
      <c r="T80" s="961"/>
      <c r="U80" s="960"/>
      <c r="V80" s="960"/>
      <c r="W80" s="960"/>
      <c r="X80" s="960"/>
      <c r="Y80" s="959" t="s">
        <v>505</v>
      </c>
      <c r="Z80" s="958">
        <v>0</v>
      </c>
      <c r="AA80" s="850" t="s">
        <v>1090</v>
      </c>
      <c r="AB80" s="1638">
        <f t="shared" si="35"/>
        <v>0</v>
      </c>
      <c r="AC80" s="1634">
        <f t="shared" si="31"/>
        <v>0</v>
      </c>
      <c r="AD80" s="1639">
        <v>0</v>
      </c>
      <c r="AE80" s="1634" t="s">
        <v>1090</v>
      </c>
      <c r="AF80" s="1634" t="s">
        <v>1090</v>
      </c>
      <c r="AG80" s="1634" t="str">
        <f>AF80</f>
        <v>-</v>
      </c>
      <c r="AH80" s="1640"/>
      <c r="AI80" s="1642"/>
      <c r="AJ80" s="1642"/>
      <c r="AK80" s="1642"/>
      <c r="AL80" s="1642"/>
      <c r="AM80" s="1742">
        <f>SUM(M80:P80)</f>
        <v>0</v>
      </c>
      <c r="AN80" s="1729">
        <f t="shared" si="32"/>
        <v>0</v>
      </c>
      <c r="AO80" s="1728">
        <v>0</v>
      </c>
      <c r="AP80" s="1729" t="s">
        <v>2244</v>
      </c>
      <c r="AQ80" s="1729" t="s">
        <v>1090</v>
      </c>
      <c r="AR80" s="1729" t="str">
        <f t="shared" si="44"/>
        <v>-</v>
      </c>
      <c r="AS80" s="1749">
        <v>0</v>
      </c>
      <c r="AT80" s="1728"/>
      <c r="AU80" s="1728"/>
      <c r="AV80" s="1728"/>
      <c r="AW80" s="2196">
        <f>SUM(M80:R80)</f>
        <v>0</v>
      </c>
      <c r="AX80" s="2218">
        <f t="shared" si="33"/>
        <v>0</v>
      </c>
      <c r="AY80" s="2196" t="s">
        <v>1090</v>
      </c>
      <c r="AZ80" s="2218" t="s">
        <v>1090</v>
      </c>
      <c r="BA80" s="795"/>
      <c r="BB80" s="2218" t="s">
        <v>1090</v>
      </c>
      <c r="BC80" s="2308">
        <v>0</v>
      </c>
      <c r="BD80" s="795" t="s">
        <v>1090</v>
      </c>
      <c r="BE80" s="2196" t="s">
        <v>2833</v>
      </c>
      <c r="BF80" s="795"/>
      <c r="BG80" s="2392">
        <f>SUM(M80:T80)</f>
        <v>0</v>
      </c>
      <c r="BH80" s="2391">
        <f t="shared" si="34"/>
        <v>0</v>
      </c>
      <c r="BI80" s="2392" t="s">
        <v>1090</v>
      </c>
      <c r="BJ80" s="2391" t="s">
        <v>1090</v>
      </c>
      <c r="BK80" s="2393"/>
      <c r="BL80" s="2391" t="s">
        <v>1090</v>
      </c>
      <c r="BM80" s="2394"/>
      <c r="BN80" s="2393"/>
      <c r="BO80" s="2392" t="s">
        <v>2833</v>
      </c>
      <c r="BP80" s="2393"/>
    </row>
    <row r="81" spans="1:68" s="796" customFormat="1" ht="255.75" thickBot="1">
      <c r="A81" s="2738"/>
      <c r="B81" s="2738"/>
      <c r="C81" s="2753"/>
      <c r="D81" s="953" t="s">
        <v>1595</v>
      </c>
      <c r="E81" s="952" t="s">
        <v>1594</v>
      </c>
      <c r="F81" s="952" t="s">
        <v>505</v>
      </c>
      <c r="G81" s="952" t="s">
        <v>1593</v>
      </c>
      <c r="H81" s="889" t="s">
        <v>1575</v>
      </c>
      <c r="I81" s="927">
        <v>0.09</v>
      </c>
      <c r="J81" s="889" t="s">
        <v>1579</v>
      </c>
      <c r="K81" s="910">
        <v>42065</v>
      </c>
      <c r="L81" s="951">
        <v>42215</v>
      </c>
      <c r="M81" s="957"/>
      <c r="N81" s="957"/>
      <c r="O81" s="957"/>
      <c r="P81" s="957"/>
      <c r="Q81" s="957"/>
      <c r="R81" s="957"/>
      <c r="S81" s="957"/>
      <c r="T81" s="957">
        <v>1</v>
      </c>
      <c r="U81" s="956"/>
      <c r="V81" s="956"/>
      <c r="W81" s="956"/>
      <c r="X81" s="956"/>
      <c r="Y81" s="948">
        <f>SUM(M81:X81)</f>
        <v>1</v>
      </c>
      <c r="Z81" s="955">
        <v>4030000000</v>
      </c>
      <c r="AA81" s="954"/>
      <c r="AB81" s="1638">
        <f t="shared" si="35"/>
        <v>0</v>
      </c>
      <c r="AC81" s="1634">
        <f t="shared" si="31"/>
        <v>0</v>
      </c>
      <c r="AD81" s="1639">
        <v>0</v>
      </c>
      <c r="AE81" s="1634" t="s">
        <v>1090</v>
      </c>
      <c r="AF81" s="1634">
        <f aca="true" t="shared" si="52" ref="AF81:AF90">AD81/Y81</f>
        <v>0</v>
      </c>
      <c r="AG81" s="1634">
        <f aca="true" t="shared" si="53" ref="AG81:AG90">AF81</f>
        <v>0</v>
      </c>
      <c r="AH81" s="1640">
        <v>1</v>
      </c>
      <c r="AI81" s="1642"/>
      <c r="AJ81" s="1642"/>
      <c r="AK81" s="1642" t="s">
        <v>1922</v>
      </c>
      <c r="AL81" s="1642"/>
      <c r="AM81" s="1742">
        <f aca="true" t="shared" si="54" ref="AM81:AM90">SUM(M81:P81)</f>
        <v>0</v>
      </c>
      <c r="AN81" s="1729">
        <f t="shared" si="32"/>
        <v>0</v>
      </c>
      <c r="AO81" s="1728">
        <v>0</v>
      </c>
      <c r="AP81" s="1729">
        <v>0.33</v>
      </c>
      <c r="AQ81" s="1729">
        <f aca="true" t="shared" si="55" ref="AQ81:AQ90">AO81/Y81</f>
        <v>0</v>
      </c>
      <c r="AR81" s="1729">
        <v>0</v>
      </c>
      <c r="AS81" s="1749">
        <v>0</v>
      </c>
      <c r="AT81" s="1728"/>
      <c r="AU81" s="1728" t="s">
        <v>2245</v>
      </c>
      <c r="AV81" s="1728"/>
      <c r="AW81" s="2196">
        <f aca="true" t="shared" si="56" ref="AW81:AW90">SUM(M81:R81)</f>
        <v>0</v>
      </c>
      <c r="AX81" s="2218">
        <f t="shared" si="33"/>
        <v>0</v>
      </c>
      <c r="AY81" s="2196">
        <v>0</v>
      </c>
      <c r="AZ81" s="2218" t="s">
        <v>1090</v>
      </c>
      <c r="BA81" s="795"/>
      <c r="BB81" s="2218">
        <v>0</v>
      </c>
      <c r="BC81" s="2308">
        <v>0</v>
      </c>
      <c r="BD81" s="795" t="s">
        <v>1090</v>
      </c>
      <c r="BE81" s="2196" t="s">
        <v>2245</v>
      </c>
      <c r="BF81" s="795"/>
      <c r="BG81" s="2392">
        <f aca="true" t="shared" si="57" ref="BG81:BG90">SUM(M81:T81)</f>
        <v>1</v>
      </c>
      <c r="BH81" s="2391">
        <f t="shared" si="34"/>
        <v>1</v>
      </c>
      <c r="BI81" s="2466">
        <v>0</v>
      </c>
      <c r="BJ81" s="2391">
        <v>0</v>
      </c>
      <c r="BK81" s="2393"/>
      <c r="BL81" s="2391">
        <v>0</v>
      </c>
      <c r="BM81" s="2394"/>
      <c r="BN81" s="2393"/>
      <c r="BO81" s="2392" t="s">
        <v>2245</v>
      </c>
      <c r="BP81" s="2393"/>
    </row>
    <row r="82" spans="1:68" s="796" customFormat="1" ht="234.75" thickBot="1">
      <c r="A82" s="2738"/>
      <c r="B82" s="2738"/>
      <c r="C82" s="2753"/>
      <c r="D82" s="953" t="s">
        <v>1592</v>
      </c>
      <c r="E82" s="952" t="s">
        <v>1582</v>
      </c>
      <c r="F82" s="952" t="s">
        <v>505</v>
      </c>
      <c r="G82" s="952" t="s">
        <v>1591</v>
      </c>
      <c r="H82" s="889" t="s">
        <v>1590</v>
      </c>
      <c r="I82" s="927">
        <v>0.09</v>
      </c>
      <c r="J82" s="889" t="s">
        <v>1579</v>
      </c>
      <c r="K82" s="910">
        <v>42072</v>
      </c>
      <c r="L82" s="951">
        <v>42368</v>
      </c>
      <c r="M82" s="950"/>
      <c r="N82" s="950"/>
      <c r="O82" s="950"/>
      <c r="P82" s="950"/>
      <c r="Q82" s="950"/>
      <c r="R82" s="950"/>
      <c r="S82" s="950"/>
      <c r="T82" s="950"/>
      <c r="U82" s="949"/>
      <c r="V82" s="949"/>
      <c r="W82" s="949"/>
      <c r="X82" s="949">
        <v>1</v>
      </c>
      <c r="Y82" s="948">
        <f>SUM(M82:X82)</f>
        <v>1</v>
      </c>
      <c r="Z82" s="947">
        <v>370800000</v>
      </c>
      <c r="AA82" s="946"/>
      <c r="AB82" s="1638">
        <f t="shared" si="35"/>
        <v>0</v>
      </c>
      <c r="AC82" s="1634">
        <f t="shared" si="31"/>
        <v>0</v>
      </c>
      <c r="AD82" s="1639">
        <v>0</v>
      </c>
      <c r="AE82" s="1634" t="s">
        <v>1090</v>
      </c>
      <c r="AF82" s="1634">
        <f t="shared" si="52"/>
        <v>0</v>
      </c>
      <c r="AG82" s="1634">
        <f t="shared" si="53"/>
        <v>0</v>
      </c>
      <c r="AH82" s="1640">
        <v>0.5</v>
      </c>
      <c r="AI82" s="1642"/>
      <c r="AJ82" s="1642"/>
      <c r="AK82" s="1642" t="s">
        <v>1923</v>
      </c>
      <c r="AL82" s="1642"/>
      <c r="AM82" s="1742">
        <f t="shared" si="54"/>
        <v>0</v>
      </c>
      <c r="AN82" s="1729">
        <f t="shared" si="32"/>
        <v>0</v>
      </c>
      <c r="AO82" s="1728">
        <v>0</v>
      </c>
      <c r="AP82" s="1729">
        <v>0.5</v>
      </c>
      <c r="AQ82" s="1729">
        <f t="shared" si="55"/>
        <v>0</v>
      </c>
      <c r="AR82" s="1729">
        <v>0</v>
      </c>
      <c r="AS82" s="1749">
        <v>0</v>
      </c>
      <c r="AT82" s="1728"/>
      <c r="AU82" s="1728" t="s">
        <v>2246</v>
      </c>
      <c r="AV82" s="1728"/>
      <c r="AW82" s="2196">
        <f t="shared" si="56"/>
        <v>0</v>
      </c>
      <c r="AX82" s="2218">
        <f t="shared" si="33"/>
        <v>0</v>
      </c>
      <c r="AY82" s="2196">
        <v>0</v>
      </c>
      <c r="AZ82" s="2218" t="s">
        <v>1090</v>
      </c>
      <c r="BA82" s="795"/>
      <c r="BB82" s="2218">
        <v>0</v>
      </c>
      <c r="BC82" s="2308">
        <v>0</v>
      </c>
      <c r="BD82" s="795" t="s">
        <v>1090</v>
      </c>
      <c r="BE82" s="2196" t="s">
        <v>2246</v>
      </c>
      <c r="BF82" s="795"/>
      <c r="BG82" s="2392">
        <f t="shared" si="57"/>
        <v>0</v>
      </c>
      <c r="BH82" s="2391">
        <f t="shared" si="34"/>
        <v>0</v>
      </c>
      <c r="BI82" s="2392" t="s">
        <v>1090</v>
      </c>
      <c r="BJ82" s="2391" t="s">
        <v>1090</v>
      </c>
      <c r="BK82" s="2393"/>
      <c r="BL82" s="2391">
        <v>0.5</v>
      </c>
      <c r="BM82" s="2394"/>
      <c r="BN82" s="2393"/>
      <c r="BO82" s="2392" t="s">
        <v>2246</v>
      </c>
      <c r="BP82" s="2393"/>
    </row>
    <row r="83" spans="1:68" s="796" customFormat="1" ht="204.75" thickBot="1">
      <c r="A83" s="2738"/>
      <c r="B83" s="2738"/>
      <c r="C83" s="2753"/>
      <c r="D83" s="945" t="s">
        <v>1485</v>
      </c>
      <c r="E83" s="929" t="s">
        <v>1486</v>
      </c>
      <c r="F83" s="936">
        <v>15</v>
      </c>
      <c r="G83" s="935" t="s">
        <v>1487</v>
      </c>
      <c r="H83" s="938" t="s">
        <v>1571</v>
      </c>
      <c r="I83" s="939">
        <v>0.09</v>
      </c>
      <c r="J83" s="938" t="s">
        <v>1488</v>
      </c>
      <c r="K83" s="937">
        <v>42005</v>
      </c>
      <c r="L83" s="910">
        <v>42369</v>
      </c>
      <c r="M83" s="944"/>
      <c r="N83" s="944"/>
      <c r="O83" s="944"/>
      <c r="P83" s="944"/>
      <c r="Q83" s="944"/>
      <c r="R83" s="944"/>
      <c r="S83" s="944"/>
      <c r="T83" s="944"/>
      <c r="U83" s="943"/>
      <c r="V83" s="943"/>
      <c r="W83" s="943"/>
      <c r="X83" s="943">
        <v>20</v>
      </c>
      <c r="Y83" s="918">
        <f>SUM(M83:X83)</f>
        <v>20</v>
      </c>
      <c r="Z83" s="942">
        <v>0</v>
      </c>
      <c r="AA83" s="850" t="s">
        <v>1090</v>
      </c>
      <c r="AB83" s="1638">
        <f t="shared" si="35"/>
        <v>0</v>
      </c>
      <c r="AC83" s="1634">
        <f t="shared" si="31"/>
        <v>0</v>
      </c>
      <c r="AD83" s="1639">
        <v>0</v>
      </c>
      <c r="AE83" s="1634" t="s">
        <v>1090</v>
      </c>
      <c r="AF83" s="1634">
        <f t="shared" si="52"/>
        <v>0</v>
      </c>
      <c r="AG83" s="1634">
        <f t="shared" si="53"/>
        <v>0</v>
      </c>
      <c r="AH83" s="1640">
        <v>0.6</v>
      </c>
      <c r="AI83" s="1642"/>
      <c r="AJ83" s="1642"/>
      <c r="AK83" s="1642" t="s">
        <v>1924</v>
      </c>
      <c r="AL83" s="1642"/>
      <c r="AM83" s="1742">
        <f t="shared" si="54"/>
        <v>0</v>
      </c>
      <c r="AN83" s="1729">
        <f t="shared" si="32"/>
        <v>0</v>
      </c>
      <c r="AO83" s="1728">
        <v>0</v>
      </c>
      <c r="AP83" s="1729">
        <v>0.6</v>
      </c>
      <c r="AQ83" s="1729">
        <f t="shared" si="55"/>
        <v>0</v>
      </c>
      <c r="AR83" s="1729">
        <v>0</v>
      </c>
      <c r="AS83" s="1749">
        <v>0</v>
      </c>
      <c r="AT83" s="1728"/>
      <c r="AU83" s="1728" t="s">
        <v>2247</v>
      </c>
      <c r="AV83" s="1728"/>
      <c r="AW83" s="2196">
        <f t="shared" si="56"/>
        <v>0</v>
      </c>
      <c r="AX83" s="2218">
        <f t="shared" si="33"/>
        <v>0</v>
      </c>
      <c r="AY83" s="2196">
        <v>0</v>
      </c>
      <c r="AZ83" s="2218" t="s">
        <v>1090</v>
      </c>
      <c r="BA83" s="795"/>
      <c r="BB83" s="2218">
        <v>0</v>
      </c>
      <c r="BC83" s="2308">
        <v>0</v>
      </c>
      <c r="BD83" s="795" t="s">
        <v>1090</v>
      </c>
      <c r="BE83" s="2196" t="s">
        <v>2247</v>
      </c>
      <c r="BF83" s="795"/>
      <c r="BG83" s="2392">
        <f t="shared" si="57"/>
        <v>0</v>
      </c>
      <c r="BH83" s="2391">
        <f t="shared" si="34"/>
        <v>0</v>
      </c>
      <c r="BI83" s="2392" t="s">
        <v>1090</v>
      </c>
      <c r="BJ83" s="2391" t="s">
        <v>1090</v>
      </c>
      <c r="BK83" s="2393"/>
      <c r="BL83" s="2391">
        <v>0.6</v>
      </c>
      <c r="BM83" s="2394"/>
      <c r="BN83" s="2393"/>
      <c r="BO83" s="2392" t="s">
        <v>2247</v>
      </c>
      <c r="BP83" s="2393"/>
    </row>
    <row r="84" spans="1:68" s="796" customFormat="1" ht="36.75" customHeight="1" thickBot="1">
      <c r="A84" s="2738"/>
      <c r="B84" s="2738"/>
      <c r="C84" s="2753"/>
      <c r="D84" s="940" t="s">
        <v>1589</v>
      </c>
      <c r="E84" s="929" t="s">
        <v>1489</v>
      </c>
      <c r="F84" s="936">
        <v>6</v>
      </c>
      <c r="G84" s="935" t="s">
        <v>1490</v>
      </c>
      <c r="H84" s="938" t="s">
        <v>1492</v>
      </c>
      <c r="I84" s="939">
        <v>0.09</v>
      </c>
      <c r="J84" s="938" t="s">
        <v>1491</v>
      </c>
      <c r="K84" s="937">
        <v>42005</v>
      </c>
      <c r="L84" s="910">
        <v>42369</v>
      </c>
      <c r="M84" s="932"/>
      <c r="N84" s="932"/>
      <c r="O84" s="932">
        <v>1</v>
      </c>
      <c r="P84" s="932"/>
      <c r="Q84" s="932"/>
      <c r="R84" s="932">
        <v>2</v>
      </c>
      <c r="S84" s="932"/>
      <c r="T84" s="932"/>
      <c r="U84" s="931">
        <v>2</v>
      </c>
      <c r="V84" s="931"/>
      <c r="W84" s="931"/>
      <c r="X84" s="931">
        <v>1</v>
      </c>
      <c r="Y84" s="918">
        <f>SUM(M84:X84)</f>
        <v>6</v>
      </c>
      <c r="Z84" s="941">
        <v>0</v>
      </c>
      <c r="AA84" s="850" t="s">
        <v>1090</v>
      </c>
      <c r="AB84" s="1638">
        <f t="shared" si="35"/>
        <v>0</v>
      </c>
      <c r="AC84" s="1634">
        <f t="shared" si="31"/>
        <v>0</v>
      </c>
      <c r="AD84" s="1639">
        <v>0</v>
      </c>
      <c r="AE84" s="1634" t="s">
        <v>1090</v>
      </c>
      <c r="AF84" s="1634">
        <f t="shared" si="52"/>
        <v>0</v>
      </c>
      <c r="AG84" s="1634">
        <f t="shared" si="53"/>
        <v>0</v>
      </c>
      <c r="AH84" s="1640"/>
      <c r="AI84" s="1642"/>
      <c r="AJ84" s="1642"/>
      <c r="AK84" s="1642"/>
      <c r="AL84" s="1642"/>
      <c r="AM84" s="1742">
        <f t="shared" si="54"/>
        <v>1</v>
      </c>
      <c r="AN84" s="1729">
        <f t="shared" si="32"/>
        <v>1</v>
      </c>
      <c r="AO84" s="1728">
        <v>0</v>
      </c>
      <c r="AP84" s="1729">
        <v>0</v>
      </c>
      <c r="AQ84" s="1729">
        <f t="shared" si="55"/>
        <v>0</v>
      </c>
      <c r="AR84" s="1729">
        <f t="shared" si="44"/>
        <v>0</v>
      </c>
      <c r="AS84" s="1749">
        <v>0</v>
      </c>
      <c r="AT84" s="1728"/>
      <c r="AU84" s="1728"/>
      <c r="AV84" s="1728"/>
      <c r="AW84" s="2196">
        <f t="shared" si="56"/>
        <v>3</v>
      </c>
      <c r="AX84" s="2218">
        <f t="shared" si="33"/>
        <v>1</v>
      </c>
      <c r="AY84" s="2196">
        <v>3</v>
      </c>
      <c r="AZ84" s="2218">
        <v>1</v>
      </c>
      <c r="BA84" s="795"/>
      <c r="BB84" s="2218">
        <v>0.5</v>
      </c>
      <c r="BC84" s="2308">
        <v>0</v>
      </c>
      <c r="BD84" s="795" t="s">
        <v>1090</v>
      </c>
      <c r="BE84" s="2196" t="s">
        <v>2834</v>
      </c>
      <c r="BF84" s="795"/>
      <c r="BG84" s="2392">
        <f t="shared" si="57"/>
        <v>3</v>
      </c>
      <c r="BH84" s="2391">
        <f t="shared" si="34"/>
        <v>1</v>
      </c>
      <c r="BI84" s="2392">
        <v>3</v>
      </c>
      <c r="BJ84" s="2391">
        <v>1</v>
      </c>
      <c r="BK84" s="2393"/>
      <c r="BL84" s="2391">
        <v>0.5</v>
      </c>
      <c r="BM84" s="2394"/>
      <c r="BN84" s="2393"/>
      <c r="BO84" s="2392" t="s">
        <v>2834</v>
      </c>
      <c r="BP84" s="2393"/>
    </row>
    <row r="85" spans="1:68" s="796" customFormat="1" ht="78" customHeight="1" thickBot="1">
      <c r="A85" s="2738"/>
      <c r="B85" s="2738"/>
      <c r="C85" s="2753"/>
      <c r="D85" s="940" t="s">
        <v>1588</v>
      </c>
      <c r="E85" s="929" t="s">
        <v>1587</v>
      </c>
      <c r="F85" s="936" t="s">
        <v>505</v>
      </c>
      <c r="G85" s="935" t="s">
        <v>1586</v>
      </c>
      <c r="H85" s="938" t="s">
        <v>1585</v>
      </c>
      <c r="I85" s="939">
        <v>0.09</v>
      </c>
      <c r="J85" s="938" t="s">
        <v>1584</v>
      </c>
      <c r="K85" s="937">
        <v>42005</v>
      </c>
      <c r="L85" s="910">
        <v>42369</v>
      </c>
      <c r="M85" s="932"/>
      <c r="N85" s="932"/>
      <c r="O85" s="932"/>
      <c r="P85" s="932"/>
      <c r="Q85" s="932"/>
      <c r="R85" s="932"/>
      <c r="S85" s="932"/>
      <c r="T85" s="932"/>
      <c r="U85" s="931"/>
      <c r="V85" s="931"/>
      <c r="W85" s="931"/>
      <c r="X85" s="931"/>
      <c r="Y85" s="918" t="s">
        <v>505</v>
      </c>
      <c r="Z85" s="941">
        <v>10000000000</v>
      </c>
      <c r="AA85" s="850"/>
      <c r="AB85" s="1638">
        <f t="shared" si="35"/>
        <v>0</v>
      </c>
      <c r="AC85" s="1634">
        <f t="shared" si="31"/>
        <v>0</v>
      </c>
      <c r="AD85" s="1639">
        <v>0</v>
      </c>
      <c r="AE85" s="1634" t="s">
        <v>1090</v>
      </c>
      <c r="AF85" s="1634" t="s">
        <v>1090</v>
      </c>
      <c r="AG85" s="1634" t="str">
        <f t="shared" si="53"/>
        <v>-</v>
      </c>
      <c r="AH85" s="1640"/>
      <c r="AI85" s="1642"/>
      <c r="AJ85" s="1642"/>
      <c r="AK85" s="1642"/>
      <c r="AL85" s="1642"/>
      <c r="AM85" s="1742">
        <f t="shared" si="54"/>
        <v>0</v>
      </c>
      <c r="AN85" s="1729">
        <f t="shared" si="32"/>
        <v>0</v>
      </c>
      <c r="AO85" s="1728">
        <v>0</v>
      </c>
      <c r="AP85" s="1729">
        <v>0</v>
      </c>
      <c r="AQ85" s="1729" t="s">
        <v>1090</v>
      </c>
      <c r="AR85" s="1729" t="str">
        <f t="shared" si="44"/>
        <v>-</v>
      </c>
      <c r="AS85" s="1749">
        <v>0</v>
      </c>
      <c r="AT85" s="1728"/>
      <c r="AU85" s="1728"/>
      <c r="AV85" s="1728"/>
      <c r="AW85" s="2196">
        <f t="shared" si="56"/>
        <v>0</v>
      </c>
      <c r="AX85" s="2218">
        <f t="shared" si="33"/>
        <v>0</v>
      </c>
      <c r="AY85" s="2196" t="s">
        <v>1090</v>
      </c>
      <c r="AZ85" s="2218" t="s">
        <v>1090</v>
      </c>
      <c r="BA85" s="795"/>
      <c r="BB85" s="2218" t="s">
        <v>1090</v>
      </c>
      <c r="BC85" s="2308">
        <v>0</v>
      </c>
      <c r="BD85" s="795" t="s">
        <v>1090</v>
      </c>
      <c r="BE85" s="2196" t="s">
        <v>2835</v>
      </c>
      <c r="BF85" s="795"/>
      <c r="BG85" s="2392">
        <f t="shared" si="57"/>
        <v>0</v>
      </c>
      <c r="BH85" s="2391">
        <f t="shared" si="34"/>
        <v>0</v>
      </c>
      <c r="BI85" s="2392" t="s">
        <v>1090</v>
      </c>
      <c r="BJ85" s="2391" t="s">
        <v>1090</v>
      </c>
      <c r="BK85" s="2393"/>
      <c r="BL85" s="2391" t="s">
        <v>1090</v>
      </c>
      <c r="BM85" s="2394"/>
      <c r="BN85" s="2393"/>
      <c r="BO85" s="2392" t="s">
        <v>2835</v>
      </c>
      <c r="BP85" s="2393"/>
    </row>
    <row r="86" spans="1:68" s="796" customFormat="1" ht="78" customHeight="1" thickBot="1">
      <c r="A86" s="2738"/>
      <c r="B86" s="2738"/>
      <c r="C86" s="2753" t="s">
        <v>1493</v>
      </c>
      <c r="D86" s="940" t="s">
        <v>1583</v>
      </c>
      <c r="E86" s="929" t="s">
        <v>1582</v>
      </c>
      <c r="F86" s="936">
        <v>20</v>
      </c>
      <c r="G86" s="935" t="s">
        <v>1581</v>
      </c>
      <c r="H86" s="938" t="s">
        <v>1580</v>
      </c>
      <c r="I86" s="939">
        <v>0.09</v>
      </c>
      <c r="J86" s="938" t="s">
        <v>1579</v>
      </c>
      <c r="K86" s="937">
        <v>42079</v>
      </c>
      <c r="L86" s="910">
        <v>42368</v>
      </c>
      <c r="M86" s="932"/>
      <c r="N86" s="932"/>
      <c r="O86" s="932"/>
      <c r="P86" s="932"/>
      <c r="Q86" s="932"/>
      <c r="R86" s="932"/>
      <c r="S86" s="932"/>
      <c r="T86" s="932"/>
      <c r="U86" s="931"/>
      <c r="V86" s="931"/>
      <c r="W86" s="931"/>
      <c r="X86" s="931">
        <v>1</v>
      </c>
      <c r="Y86" s="918">
        <f>SUM(M86:X86)</f>
        <v>1</v>
      </c>
      <c r="Z86" s="868">
        <v>4667000000</v>
      </c>
      <c r="AA86" s="850"/>
      <c r="AB86" s="1638">
        <f t="shared" si="35"/>
        <v>0</v>
      </c>
      <c r="AC86" s="1634">
        <f t="shared" si="31"/>
        <v>0</v>
      </c>
      <c r="AD86" s="1639">
        <v>0</v>
      </c>
      <c r="AE86" s="1634" t="s">
        <v>1090</v>
      </c>
      <c r="AF86" s="1634">
        <f t="shared" si="52"/>
        <v>0</v>
      </c>
      <c r="AG86" s="1634">
        <f t="shared" si="53"/>
        <v>0</v>
      </c>
      <c r="AH86" s="1640">
        <v>0.2</v>
      </c>
      <c r="AI86" s="1642"/>
      <c r="AJ86" s="1642"/>
      <c r="AK86" s="1642" t="s">
        <v>1925</v>
      </c>
      <c r="AL86" s="1642"/>
      <c r="AM86" s="1742">
        <f t="shared" si="54"/>
        <v>0</v>
      </c>
      <c r="AN86" s="1729">
        <f t="shared" si="32"/>
        <v>0</v>
      </c>
      <c r="AO86" s="1728">
        <v>0</v>
      </c>
      <c r="AP86" s="1729">
        <v>0.2</v>
      </c>
      <c r="AQ86" s="1729">
        <f t="shared" si="55"/>
        <v>0</v>
      </c>
      <c r="AR86" s="1729">
        <v>0</v>
      </c>
      <c r="AS86" s="1749">
        <v>0</v>
      </c>
      <c r="AT86" s="1728"/>
      <c r="AU86" s="1728" t="s">
        <v>2248</v>
      </c>
      <c r="AV86" s="1728"/>
      <c r="AW86" s="2196">
        <f t="shared" si="56"/>
        <v>0</v>
      </c>
      <c r="AX86" s="2218">
        <f t="shared" si="33"/>
        <v>0</v>
      </c>
      <c r="AY86" s="2196">
        <v>0</v>
      </c>
      <c r="AZ86" s="2218" t="s">
        <v>1090</v>
      </c>
      <c r="BA86" s="795"/>
      <c r="BB86" s="2218">
        <v>0</v>
      </c>
      <c r="BC86" s="2308">
        <v>0</v>
      </c>
      <c r="BD86" s="795" t="s">
        <v>1090</v>
      </c>
      <c r="BE86" s="2196" t="s">
        <v>2836</v>
      </c>
      <c r="BF86" s="795"/>
      <c r="BG86" s="2392">
        <f t="shared" si="57"/>
        <v>0</v>
      </c>
      <c r="BH86" s="2391">
        <f t="shared" si="34"/>
        <v>0</v>
      </c>
      <c r="BI86" s="2392" t="s">
        <v>1090</v>
      </c>
      <c r="BJ86" s="2391" t="s">
        <v>1090</v>
      </c>
      <c r="BK86" s="2393"/>
      <c r="BL86" s="2391">
        <v>0.4</v>
      </c>
      <c r="BM86" s="2394"/>
      <c r="BN86" s="2393"/>
      <c r="BO86" s="2392" t="s">
        <v>2836</v>
      </c>
      <c r="BP86" s="2393"/>
    </row>
    <row r="87" spans="1:68" s="796" customFormat="1" ht="57.75" customHeight="1" thickBot="1">
      <c r="A87" s="2738"/>
      <c r="B87" s="2738"/>
      <c r="C87" s="2757"/>
      <c r="D87" s="2763" t="s">
        <v>1578</v>
      </c>
      <c r="E87" s="929" t="s">
        <v>1577</v>
      </c>
      <c r="F87" s="936">
        <v>1200</v>
      </c>
      <c r="G87" s="935" t="s">
        <v>1576</v>
      </c>
      <c r="H87" s="2765" t="s">
        <v>1575</v>
      </c>
      <c r="I87" s="2767">
        <v>0.14</v>
      </c>
      <c r="J87" s="2765" t="s">
        <v>1574</v>
      </c>
      <c r="K87" s="2758">
        <v>42064</v>
      </c>
      <c r="L87" s="2758">
        <v>42353</v>
      </c>
      <c r="M87" s="932"/>
      <c r="N87" s="932"/>
      <c r="O87" s="932"/>
      <c r="P87" s="932"/>
      <c r="Q87" s="932"/>
      <c r="R87" s="932"/>
      <c r="S87" s="932"/>
      <c r="T87" s="932">
        <v>1200</v>
      </c>
      <c r="U87" s="931"/>
      <c r="V87" s="931"/>
      <c r="W87" s="931"/>
      <c r="X87" s="931"/>
      <c r="Y87" s="918">
        <v>1200</v>
      </c>
      <c r="Z87" s="2760">
        <v>2080000000</v>
      </c>
      <c r="AA87" s="850"/>
      <c r="AB87" s="1638">
        <f t="shared" si="35"/>
        <v>0</v>
      </c>
      <c r="AC87" s="1634">
        <f t="shared" si="31"/>
        <v>0</v>
      </c>
      <c r="AD87" s="1639">
        <v>0</v>
      </c>
      <c r="AE87" s="1634" t="s">
        <v>1090</v>
      </c>
      <c r="AF87" s="1634">
        <f t="shared" si="52"/>
        <v>0</v>
      </c>
      <c r="AG87" s="1634">
        <f t="shared" si="53"/>
        <v>0</v>
      </c>
      <c r="AH87" s="1640">
        <v>0.15</v>
      </c>
      <c r="AI87" s="1642"/>
      <c r="AJ87" s="1642"/>
      <c r="AK87" s="1642" t="s">
        <v>1926</v>
      </c>
      <c r="AL87" s="1642"/>
      <c r="AM87" s="1742">
        <f t="shared" si="54"/>
        <v>0</v>
      </c>
      <c r="AN87" s="1729">
        <f t="shared" si="32"/>
        <v>0</v>
      </c>
      <c r="AO87" s="1728">
        <v>0</v>
      </c>
      <c r="AP87" s="1729">
        <v>0.15</v>
      </c>
      <c r="AQ87" s="1729">
        <f t="shared" si="55"/>
        <v>0</v>
      </c>
      <c r="AR87" s="1729">
        <v>0</v>
      </c>
      <c r="AS87" s="1749">
        <v>0</v>
      </c>
      <c r="AT87" s="1728"/>
      <c r="AU87" s="1728" t="s">
        <v>2248</v>
      </c>
      <c r="AV87" s="1728"/>
      <c r="AW87" s="2196">
        <f t="shared" si="56"/>
        <v>0</v>
      </c>
      <c r="AX87" s="2218">
        <f t="shared" si="33"/>
        <v>0</v>
      </c>
      <c r="AY87" s="2196">
        <v>0</v>
      </c>
      <c r="AZ87" s="2218" t="s">
        <v>1090</v>
      </c>
      <c r="BA87" s="795"/>
      <c r="BB87" s="2218">
        <v>0</v>
      </c>
      <c r="BC87" s="2308">
        <v>0</v>
      </c>
      <c r="BD87" s="795" t="s">
        <v>1090</v>
      </c>
      <c r="BE87" s="2196" t="s">
        <v>2837</v>
      </c>
      <c r="BF87" s="795"/>
      <c r="BG87" s="2392">
        <f t="shared" si="57"/>
        <v>1200</v>
      </c>
      <c r="BH87" s="2391">
        <f t="shared" si="34"/>
        <v>1</v>
      </c>
      <c r="BI87" s="2392">
        <v>480</v>
      </c>
      <c r="BJ87" s="2391">
        <f>BI87/Y87</f>
        <v>0.4</v>
      </c>
      <c r="BK87" s="2393"/>
      <c r="BL87" s="2391">
        <v>0.4</v>
      </c>
      <c r="BM87" s="2394"/>
      <c r="BN87" s="2393"/>
      <c r="BO87" s="2392" t="s">
        <v>2837</v>
      </c>
      <c r="BP87" s="2393"/>
    </row>
    <row r="88" spans="1:68" s="796" customFormat="1" ht="51.75" thickBot="1">
      <c r="A88" s="2738"/>
      <c r="B88" s="2738"/>
      <c r="C88" s="2757"/>
      <c r="D88" s="2764"/>
      <c r="E88" s="929" t="s">
        <v>1573</v>
      </c>
      <c r="F88" s="934">
        <v>200</v>
      </c>
      <c r="G88" s="933" t="s">
        <v>1572</v>
      </c>
      <c r="H88" s="2766"/>
      <c r="I88" s="2768"/>
      <c r="J88" s="2766"/>
      <c r="K88" s="2759"/>
      <c r="L88" s="2759"/>
      <c r="M88" s="932"/>
      <c r="N88" s="932"/>
      <c r="O88" s="932"/>
      <c r="P88" s="932"/>
      <c r="Q88" s="932"/>
      <c r="R88" s="932"/>
      <c r="S88" s="932"/>
      <c r="T88" s="932">
        <v>200</v>
      </c>
      <c r="U88" s="931"/>
      <c r="V88" s="931"/>
      <c r="W88" s="931"/>
      <c r="X88" s="931"/>
      <c r="Y88" s="918">
        <v>200</v>
      </c>
      <c r="Z88" s="2761"/>
      <c r="AA88" s="850"/>
      <c r="AB88" s="1638">
        <f t="shared" si="35"/>
        <v>0</v>
      </c>
      <c r="AC88" s="1634">
        <f t="shared" si="31"/>
        <v>0</v>
      </c>
      <c r="AD88" s="1639">
        <v>0</v>
      </c>
      <c r="AE88" s="1634" t="s">
        <v>1090</v>
      </c>
      <c r="AF88" s="1634">
        <f t="shared" si="52"/>
        <v>0</v>
      </c>
      <c r="AG88" s="1634">
        <f t="shared" si="53"/>
        <v>0</v>
      </c>
      <c r="AH88" s="1640">
        <v>0.15</v>
      </c>
      <c r="AI88" s="1642"/>
      <c r="AJ88" s="1642"/>
      <c r="AK88" s="1642" t="s">
        <v>1926</v>
      </c>
      <c r="AL88" s="1642"/>
      <c r="AM88" s="1742">
        <f t="shared" si="54"/>
        <v>0</v>
      </c>
      <c r="AN88" s="1729">
        <f t="shared" si="32"/>
        <v>0</v>
      </c>
      <c r="AO88" s="1728">
        <v>0</v>
      </c>
      <c r="AP88" s="1729">
        <v>0.15</v>
      </c>
      <c r="AQ88" s="1729">
        <f t="shared" si="55"/>
        <v>0</v>
      </c>
      <c r="AR88" s="1729">
        <v>0</v>
      </c>
      <c r="AS88" s="1749">
        <v>0</v>
      </c>
      <c r="AT88" s="1728"/>
      <c r="AU88" s="1728" t="s">
        <v>2248</v>
      </c>
      <c r="AV88" s="1728"/>
      <c r="AW88" s="2196">
        <f t="shared" si="56"/>
        <v>0</v>
      </c>
      <c r="AX88" s="2218">
        <f t="shared" si="33"/>
        <v>0</v>
      </c>
      <c r="AY88" s="2196">
        <v>0</v>
      </c>
      <c r="AZ88" s="2218" t="s">
        <v>1090</v>
      </c>
      <c r="BA88" s="795"/>
      <c r="BB88" s="2218">
        <v>0</v>
      </c>
      <c r="BC88" s="2308">
        <v>0</v>
      </c>
      <c r="BD88" s="795" t="s">
        <v>1090</v>
      </c>
      <c r="BE88" s="2196" t="s">
        <v>2838</v>
      </c>
      <c r="BF88" s="795"/>
      <c r="BG88" s="2392">
        <f t="shared" si="57"/>
        <v>200</v>
      </c>
      <c r="BH88" s="2391">
        <f t="shared" si="34"/>
        <v>1</v>
      </c>
      <c r="BI88" s="2392">
        <v>80</v>
      </c>
      <c r="BJ88" s="2391">
        <f>BI88/Y88</f>
        <v>0.4</v>
      </c>
      <c r="BK88" s="2393"/>
      <c r="BL88" s="2391">
        <v>0.4</v>
      </c>
      <c r="BM88" s="2394"/>
      <c r="BN88" s="2393"/>
      <c r="BO88" s="2392" t="s">
        <v>2838</v>
      </c>
      <c r="BP88" s="2393"/>
    </row>
    <row r="89" spans="1:68" s="796" customFormat="1" ht="153.75" thickBot="1">
      <c r="A89" s="2738"/>
      <c r="B89" s="2738"/>
      <c r="C89" s="2762"/>
      <c r="D89" s="930" t="s">
        <v>1570</v>
      </c>
      <c r="E89" s="929" t="s">
        <v>72</v>
      </c>
      <c r="F89" s="928" t="s">
        <v>505</v>
      </c>
      <c r="G89" s="913" t="s">
        <v>1569</v>
      </c>
      <c r="H89" s="857" t="s">
        <v>1476</v>
      </c>
      <c r="I89" s="927">
        <v>0.09</v>
      </c>
      <c r="J89" s="926" t="s">
        <v>1568</v>
      </c>
      <c r="K89" s="910">
        <v>42005</v>
      </c>
      <c r="L89" s="910">
        <v>42369</v>
      </c>
      <c r="M89" s="925"/>
      <c r="N89" s="923"/>
      <c r="O89" s="922">
        <v>1</v>
      </c>
      <c r="P89" s="924"/>
      <c r="Q89" s="923"/>
      <c r="R89" s="924">
        <v>1</v>
      </c>
      <c r="S89" s="923"/>
      <c r="T89" s="922"/>
      <c r="U89" s="920">
        <v>1</v>
      </c>
      <c r="V89" s="921"/>
      <c r="W89" s="920"/>
      <c r="X89" s="919">
        <v>1</v>
      </c>
      <c r="Y89" s="918">
        <f>SUM(M89:X89)</f>
        <v>4</v>
      </c>
      <c r="Z89" s="917">
        <v>0</v>
      </c>
      <c r="AA89" s="850" t="s">
        <v>1090</v>
      </c>
      <c r="AB89" s="1638">
        <f t="shared" si="35"/>
        <v>0</v>
      </c>
      <c r="AC89" s="1634">
        <f t="shared" si="31"/>
        <v>0</v>
      </c>
      <c r="AD89" s="1639">
        <v>0</v>
      </c>
      <c r="AE89" s="1634" t="s">
        <v>1090</v>
      </c>
      <c r="AF89" s="1634">
        <f t="shared" si="52"/>
        <v>0</v>
      </c>
      <c r="AG89" s="1634">
        <f t="shared" si="53"/>
        <v>0</v>
      </c>
      <c r="AH89" s="1640"/>
      <c r="AI89" s="1642"/>
      <c r="AJ89" s="1642"/>
      <c r="AK89" s="1642"/>
      <c r="AL89" s="1642"/>
      <c r="AM89" s="1742">
        <f t="shared" si="54"/>
        <v>1</v>
      </c>
      <c r="AN89" s="1729">
        <f t="shared" si="32"/>
        <v>1</v>
      </c>
      <c r="AO89" s="1728">
        <v>1</v>
      </c>
      <c r="AP89" s="1729">
        <v>0.3</v>
      </c>
      <c r="AQ89" s="1729">
        <f t="shared" si="55"/>
        <v>0.25</v>
      </c>
      <c r="AR89" s="1729">
        <f t="shared" si="44"/>
        <v>0.3</v>
      </c>
      <c r="AS89" s="1749">
        <v>0</v>
      </c>
      <c r="AT89" s="1728"/>
      <c r="AU89" s="1728" t="s">
        <v>2249</v>
      </c>
      <c r="AV89" s="1728"/>
      <c r="AW89" s="2196">
        <f t="shared" si="56"/>
        <v>2</v>
      </c>
      <c r="AX89" s="2218">
        <f t="shared" si="33"/>
        <v>1</v>
      </c>
      <c r="AY89" s="2196">
        <v>2</v>
      </c>
      <c r="AZ89" s="2218">
        <v>1</v>
      </c>
      <c r="BA89" s="795"/>
      <c r="BB89" s="2218">
        <v>0.5</v>
      </c>
      <c r="BC89" s="2308">
        <v>0</v>
      </c>
      <c r="BD89" s="795" t="s">
        <v>1090</v>
      </c>
      <c r="BE89" s="2196" t="s">
        <v>2249</v>
      </c>
      <c r="BF89" s="795"/>
      <c r="BG89" s="2392">
        <f t="shared" si="57"/>
        <v>2</v>
      </c>
      <c r="BH89" s="2391">
        <f t="shared" si="34"/>
        <v>1</v>
      </c>
      <c r="BI89" s="2392">
        <v>2</v>
      </c>
      <c r="BJ89" s="2391">
        <v>1</v>
      </c>
      <c r="BK89" s="2393"/>
      <c r="BL89" s="2391">
        <v>0.5</v>
      </c>
      <c r="BM89" s="2394"/>
      <c r="BN89" s="2393"/>
      <c r="BO89" s="2392" t="s">
        <v>2249</v>
      </c>
      <c r="BP89" s="2393"/>
    </row>
    <row r="90" spans="1:68" s="796" customFormat="1" ht="39" thickBot="1">
      <c r="A90" s="2738"/>
      <c r="B90" s="2738"/>
      <c r="C90" s="862" t="s">
        <v>1494</v>
      </c>
      <c r="D90" s="916" t="s">
        <v>1495</v>
      </c>
      <c r="E90" s="915" t="s">
        <v>1259</v>
      </c>
      <c r="F90" s="914">
        <v>1</v>
      </c>
      <c r="G90" s="913" t="s">
        <v>1496</v>
      </c>
      <c r="H90" s="857" t="s">
        <v>1364</v>
      </c>
      <c r="I90" s="912">
        <v>0.09</v>
      </c>
      <c r="J90" s="911" t="s">
        <v>1497</v>
      </c>
      <c r="K90" s="910">
        <v>42005</v>
      </c>
      <c r="L90" s="910">
        <v>42369</v>
      </c>
      <c r="M90" s="909"/>
      <c r="N90" s="907"/>
      <c r="O90" s="906"/>
      <c r="P90" s="908"/>
      <c r="Q90" s="907"/>
      <c r="R90" s="908"/>
      <c r="S90" s="907"/>
      <c r="T90" s="906"/>
      <c r="U90" s="904"/>
      <c r="V90" s="905"/>
      <c r="W90" s="904"/>
      <c r="X90" s="903">
        <v>1</v>
      </c>
      <c r="Y90" s="852">
        <f>SUM(M90:X90)</f>
        <v>1</v>
      </c>
      <c r="Z90" s="902">
        <v>0</v>
      </c>
      <c r="AA90" s="850" t="s">
        <v>1090</v>
      </c>
      <c r="AB90" s="1638">
        <f t="shared" si="35"/>
        <v>0</v>
      </c>
      <c r="AC90" s="1634">
        <f t="shared" si="31"/>
        <v>0</v>
      </c>
      <c r="AD90" s="1639">
        <v>0</v>
      </c>
      <c r="AE90" s="1634" t="s">
        <v>1090</v>
      </c>
      <c r="AF90" s="1634">
        <f t="shared" si="52"/>
        <v>0</v>
      </c>
      <c r="AG90" s="1634">
        <f t="shared" si="53"/>
        <v>0</v>
      </c>
      <c r="AH90" s="1640">
        <v>0.5</v>
      </c>
      <c r="AI90" s="1642"/>
      <c r="AJ90" s="1642"/>
      <c r="AK90" s="1642" t="s">
        <v>1927</v>
      </c>
      <c r="AL90" s="1642"/>
      <c r="AM90" s="1742">
        <f t="shared" si="54"/>
        <v>0</v>
      </c>
      <c r="AN90" s="1729">
        <f t="shared" si="32"/>
        <v>0</v>
      </c>
      <c r="AO90" s="1728">
        <v>0</v>
      </c>
      <c r="AP90" s="1729">
        <v>0.5</v>
      </c>
      <c r="AQ90" s="1729">
        <f t="shared" si="55"/>
        <v>0</v>
      </c>
      <c r="AR90" s="1729">
        <v>0</v>
      </c>
      <c r="AS90" s="1749">
        <v>0</v>
      </c>
      <c r="AT90" s="1728"/>
      <c r="AU90" s="1728" t="s">
        <v>2250</v>
      </c>
      <c r="AV90" s="1728"/>
      <c r="AW90" s="2196">
        <f t="shared" si="56"/>
        <v>0</v>
      </c>
      <c r="AX90" s="2218">
        <f t="shared" si="33"/>
        <v>0</v>
      </c>
      <c r="AY90" s="2196">
        <v>0</v>
      </c>
      <c r="AZ90" s="2218" t="s">
        <v>1090</v>
      </c>
      <c r="BA90" s="795"/>
      <c r="BB90" s="2218">
        <v>0</v>
      </c>
      <c r="BC90" s="2308">
        <v>0</v>
      </c>
      <c r="BD90" s="795" t="s">
        <v>1090</v>
      </c>
      <c r="BE90" s="2196" t="s">
        <v>2250</v>
      </c>
      <c r="BF90" s="795"/>
      <c r="BG90" s="2392">
        <f t="shared" si="57"/>
        <v>0</v>
      </c>
      <c r="BH90" s="2391">
        <f t="shared" si="34"/>
        <v>0</v>
      </c>
      <c r="BI90" s="2392" t="s">
        <v>1090</v>
      </c>
      <c r="BJ90" s="2391" t="s">
        <v>1090</v>
      </c>
      <c r="BK90" s="2393"/>
      <c r="BL90" s="2391">
        <v>0.8</v>
      </c>
      <c r="BM90" s="2394"/>
      <c r="BN90" s="2393"/>
      <c r="BO90" s="2392" t="s">
        <v>2250</v>
      </c>
      <c r="BP90" s="2393"/>
    </row>
    <row r="91" spans="1:68" s="842" customFormat="1" ht="20.1" customHeight="1" thickBot="1">
      <c r="A91" s="2556" t="s">
        <v>130</v>
      </c>
      <c r="B91" s="2556"/>
      <c r="C91" s="2556"/>
      <c r="D91" s="2556"/>
      <c r="E91" s="848"/>
      <c r="F91" s="848"/>
      <c r="G91" s="848"/>
      <c r="H91" s="848"/>
      <c r="I91" s="849">
        <f>SUM(I80:I90)</f>
        <v>0.9099999999999999</v>
      </c>
      <c r="J91" s="848"/>
      <c r="K91" s="848"/>
      <c r="L91" s="848"/>
      <c r="M91" s="848"/>
      <c r="N91" s="848"/>
      <c r="O91" s="848"/>
      <c r="P91" s="848"/>
      <c r="Q91" s="848"/>
      <c r="R91" s="848"/>
      <c r="S91" s="848"/>
      <c r="T91" s="848"/>
      <c r="U91" s="848"/>
      <c r="V91" s="848"/>
      <c r="W91" s="848"/>
      <c r="X91" s="848"/>
      <c r="Y91" s="848"/>
      <c r="Z91" s="847">
        <f>SUM(Z80:Z90)</f>
        <v>21147800000</v>
      </c>
      <c r="AA91" s="846"/>
      <c r="AB91" s="1531"/>
      <c r="AC91" s="1532" t="s">
        <v>1090</v>
      </c>
      <c r="AD91" s="1533"/>
      <c r="AE91" s="1532" t="s">
        <v>1090</v>
      </c>
      <c r="AF91" s="1532"/>
      <c r="AG91" s="1532">
        <f>AVERAGE(AG80:AG90)</f>
        <v>0</v>
      </c>
      <c r="AH91" s="845"/>
      <c r="AI91" s="845"/>
      <c r="AJ91" s="845"/>
      <c r="AK91" s="845"/>
      <c r="AL91" s="845"/>
      <c r="AM91" s="1732"/>
      <c r="AN91" s="1868">
        <f>AVERAGEIF(AN81:AN90,"&gt;0")</f>
        <v>1</v>
      </c>
      <c r="AO91" s="1732"/>
      <c r="AP91" s="1872">
        <f>AVERAGE(AP80:AP90)</f>
        <v>0.273</v>
      </c>
      <c r="AQ91" s="1872"/>
      <c r="AR91" s="1872">
        <f>AVERAGE(AR80:AR90)</f>
        <v>0.03333333333333333</v>
      </c>
      <c r="AS91" s="1732"/>
      <c r="AT91" s="1732"/>
      <c r="AU91" s="1732"/>
      <c r="AV91" s="1732"/>
      <c r="AW91" s="844"/>
      <c r="AX91" s="2252">
        <v>1</v>
      </c>
      <c r="AY91" s="844"/>
      <c r="AZ91" s="2254">
        <f>AVERAGE(AZ80:AZ90)</f>
        <v>1</v>
      </c>
      <c r="BA91" s="844"/>
      <c r="BB91" s="2252">
        <f>AVERAGE(BB80:BB90)</f>
        <v>0.1111111111111111</v>
      </c>
      <c r="BC91" s="844"/>
      <c r="BD91" s="844"/>
      <c r="BE91" s="844"/>
      <c r="BF91" s="844"/>
      <c r="BG91" s="2254">
        <v>1</v>
      </c>
      <c r="BH91" s="2252"/>
      <c r="BI91" s="844"/>
      <c r="BJ91" s="2254">
        <f>AVERAGE(BJ80:BJ90)</f>
        <v>0.5599999999999999</v>
      </c>
      <c r="BK91" s="844"/>
      <c r="BL91" s="2252">
        <f>AVERAGE(BL80:BL90)</f>
        <v>0.4555555555555555</v>
      </c>
      <c r="BM91" s="844"/>
      <c r="BN91" s="844"/>
      <c r="BO91" s="844"/>
      <c r="BP91" s="844"/>
    </row>
    <row r="92" spans="1:68" s="842" customFormat="1" ht="20.1" customHeight="1" thickBot="1">
      <c r="A92" s="2769" t="s">
        <v>290</v>
      </c>
      <c r="B92" s="2769"/>
      <c r="C92" s="2769"/>
      <c r="D92" s="2769"/>
      <c r="E92" s="1104"/>
      <c r="F92" s="1104"/>
      <c r="G92" s="1104"/>
      <c r="H92" s="1105"/>
      <c r="I92" s="1105"/>
      <c r="J92" s="1105"/>
      <c r="K92" s="1105"/>
      <c r="L92" s="1105"/>
      <c r="M92" s="1105"/>
      <c r="N92" s="1105"/>
      <c r="O92" s="1105"/>
      <c r="P92" s="1105"/>
      <c r="Q92" s="1105"/>
      <c r="R92" s="1105"/>
      <c r="S92" s="1105"/>
      <c r="T92" s="1105"/>
      <c r="U92" s="1105"/>
      <c r="V92" s="1105"/>
      <c r="W92" s="1105"/>
      <c r="X92" s="1105"/>
      <c r="Y92" s="1105"/>
      <c r="Z92" s="1106">
        <f>SUM(Z69,Z79,Z91)</f>
        <v>23820800000</v>
      </c>
      <c r="AA92" s="1107"/>
      <c r="AB92" s="1107"/>
      <c r="AC92" s="1357">
        <f>AVERAGE(AC91,AC79,AC69)</f>
        <v>1</v>
      </c>
      <c r="AD92" s="1447"/>
      <c r="AE92" s="1357">
        <f>AVERAGE(AE91,AE79,AE69)</f>
        <v>1</v>
      </c>
      <c r="AF92" s="1357"/>
      <c r="AG92" s="1357">
        <f>AVERAGE(AG91,AG79,AG69)</f>
        <v>0.041005291005291</v>
      </c>
      <c r="AH92" s="1107"/>
      <c r="AI92" s="1107"/>
      <c r="AJ92" s="1107"/>
      <c r="AK92" s="1107"/>
      <c r="AL92" s="1107"/>
      <c r="AM92" s="1733"/>
      <c r="AN92" s="1914">
        <f>AVERAGE(AN91,AN79,AN69)</f>
        <v>1</v>
      </c>
      <c r="AO92" s="1733"/>
      <c r="AP92" s="1914">
        <f>AVERAGE(AP91,AP79,AP69)</f>
        <v>0.5067407407407407</v>
      </c>
      <c r="AQ92" s="1733"/>
      <c r="AR92" s="1914">
        <f>AVERAGE(AR91,AR79,AR69)</f>
        <v>0.2333333333333333</v>
      </c>
      <c r="AS92" s="1733"/>
      <c r="AT92" s="1733"/>
      <c r="AU92" s="1733"/>
      <c r="AV92" s="1733"/>
      <c r="AW92" s="901"/>
      <c r="AX92" s="2263">
        <v>1</v>
      </c>
      <c r="AY92" s="901"/>
      <c r="AZ92" s="2262">
        <f>AVERAGE(AZ91,AZ79,AZ69)</f>
        <v>1</v>
      </c>
      <c r="BA92" s="901"/>
      <c r="BB92" s="2261">
        <f>AVERAGE(BB91,BB79,BB69)</f>
        <v>0.2541005291005291</v>
      </c>
      <c r="BC92" s="901"/>
      <c r="BD92" s="1982"/>
      <c r="BE92" s="1982"/>
      <c r="BF92" s="1982"/>
      <c r="BG92" s="2261">
        <v>1</v>
      </c>
      <c r="BH92" s="2263"/>
      <c r="BI92" s="2467"/>
      <c r="BJ92" s="2261">
        <f>AVERAGE(BJ91,BJ79,BJ69)</f>
        <v>0.8533333333333334</v>
      </c>
      <c r="BK92" s="2467"/>
      <c r="BL92" s="2261">
        <f>AVERAGE(BL91,BL79,BL69)</f>
        <v>0.528042328042328</v>
      </c>
      <c r="BM92" s="2467"/>
      <c r="BN92" s="2332"/>
      <c r="BO92" s="2332"/>
      <c r="BP92" s="2332"/>
    </row>
    <row r="93" spans="1:65" s="896" customFormat="1" ht="9.95" customHeight="1" thickBot="1">
      <c r="A93" s="2564"/>
      <c r="B93" s="2564"/>
      <c r="C93" s="2564"/>
      <c r="D93" s="2564"/>
      <c r="E93" s="2564"/>
      <c r="F93" s="2564"/>
      <c r="G93" s="2564"/>
      <c r="H93" s="2564"/>
      <c r="I93" s="2564"/>
      <c r="J93" s="2564"/>
      <c r="K93" s="2564"/>
      <c r="L93" s="2564"/>
      <c r="M93" s="2564"/>
      <c r="N93" s="2564"/>
      <c r="O93" s="2564"/>
      <c r="P93" s="2564"/>
      <c r="Q93" s="2564"/>
      <c r="R93" s="2564"/>
      <c r="S93" s="2564"/>
      <c r="T93" s="2564"/>
      <c r="U93" s="2564"/>
      <c r="V93" s="2564"/>
      <c r="W93" s="2564"/>
      <c r="X93" s="2564"/>
      <c r="Y93" s="2564"/>
      <c r="Z93" s="2564"/>
      <c r="AA93" s="2564"/>
      <c r="AB93" s="1287"/>
      <c r="AC93" s="1358"/>
      <c r="AD93" s="1448"/>
      <c r="AE93" s="1358"/>
      <c r="AF93" s="1358"/>
      <c r="AG93" s="1358"/>
      <c r="AH93" s="900"/>
      <c r="AI93" s="900"/>
      <c r="AJ93" s="900"/>
      <c r="AK93" s="900"/>
      <c r="AL93" s="900"/>
      <c r="AM93" s="1736"/>
      <c r="AN93" s="1736"/>
      <c r="AO93" s="1736"/>
      <c r="AP93" s="1736"/>
      <c r="AQ93" s="1736"/>
      <c r="AR93" s="1736"/>
      <c r="AS93" s="1736"/>
      <c r="AT93" s="1736"/>
      <c r="AU93" s="1736"/>
      <c r="AV93" s="1736"/>
      <c r="AW93" s="899"/>
      <c r="AX93" s="899"/>
      <c r="AY93" s="899"/>
      <c r="AZ93" s="899"/>
      <c r="BA93" s="899"/>
      <c r="BB93" s="899"/>
      <c r="BC93" s="899"/>
      <c r="BG93" s="899"/>
      <c r="BH93" s="899"/>
      <c r="BI93" s="899"/>
      <c r="BJ93" s="899"/>
      <c r="BK93" s="899"/>
      <c r="BL93" s="899"/>
      <c r="BM93" s="899"/>
    </row>
    <row r="94" spans="1:68" s="898" customFormat="1" ht="21" customHeight="1" thickBot="1">
      <c r="A94" s="2549" t="s">
        <v>9</v>
      </c>
      <c r="B94" s="2549"/>
      <c r="C94" s="2549"/>
      <c r="D94" s="2549"/>
      <c r="E94" s="2550" t="s">
        <v>292</v>
      </c>
      <c r="F94" s="2550"/>
      <c r="G94" s="2550"/>
      <c r="H94" s="2550"/>
      <c r="I94" s="2550"/>
      <c r="J94" s="2550"/>
      <c r="K94" s="2550"/>
      <c r="L94" s="2550"/>
      <c r="M94" s="2550"/>
      <c r="N94" s="2550"/>
      <c r="O94" s="2550"/>
      <c r="P94" s="2550"/>
      <c r="Q94" s="2550"/>
      <c r="R94" s="2550"/>
      <c r="S94" s="2550"/>
      <c r="T94" s="2550"/>
      <c r="U94" s="2550"/>
      <c r="V94" s="2550"/>
      <c r="W94" s="2550"/>
      <c r="X94" s="2550"/>
      <c r="Y94" s="2550"/>
      <c r="Z94" s="2550"/>
      <c r="AA94" s="2550"/>
      <c r="AB94" s="2550" t="s">
        <v>292</v>
      </c>
      <c r="AC94" s="2550"/>
      <c r="AD94" s="2550"/>
      <c r="AE94" s="2550"/>
      <c r="AF94" s="2550"/>
      <c r="AG94" s="2550"/>
      <c r="AH94" s="2550"/>
      <c r="AI94" s="2550"/>
      <c r="AJ94" s="2550"/>
      <c r="AK94" s="2550"/>
      <c r="AL94" s="2550"/>
      <c r="AM94" s="2746" t="s">
        <v>292</v>
      </c>
      <c r="AN94" s="2746"/>
      <c r="AO94" s="2746"/>
      <c r="AP94" s="2746"/>
      <c r="AQ94" s="2746"/>
      <c r="AR94" s="2746"/>
      <c r="AS94" s="2746"/>
      <c r="AT94" s="2746"/>
      <c r="AU94" s="2746"/>
      <c r="AV94" s="2747"/>
      <c r="AW94" s="2532" t="s">
        <v>292</v>
      </c>
      <c r="AX94" s="2533"/>
      <c r="AY94" s="2533"/>
      <c r="AZ94" s="2533"/>
      <c r="BA94" s="2533"/>
      <c r="BB94" s="2533"/>
      <c r="BC94" s="2533"/>
      <c r="BD94" s="2533"/>
      <c r="BE94" s="2533"/>
      <c r="BF94" s="2534"/>
      <c r="BG94" s="2532" t="s">
        <v>292</v>
      </c>
      <c r="BH94" s="2533"/>
      <c r="BI94" s="2533"/>
      <c r="BJ94" s="2533"/>
      <c r="BK94" s="2533"/>
      <c r="BL94" s="2533"/>
      <c r="BM94" s="2533"/>
      <c r="BN94" s="2533"/>
      <c r="BO94" s="2533"/>
      <c r="BP94" s="2534"/>
    </row>
    <row r="95" spans="1:65" s="896" customFormat="1" ht="9.95" customHeight="1" thickBot="1">
      <c r="A95" s="2564"/>
      <c r="B95" s="2564"/>
      <c r="C95" s="2564"/>
      <c r="D95" s="2564"/>
      <c r="E95" s="2564"/>
      <c r="F95" s="2564"/>
      <c r="G95" s="2564"/>
      <c r="H95" s="2564"/>
      <c r="I95" s="2564"/>
      <c r="J95" s="2564"/>
      <c r="K95" s="2564"/>
      <c r="L95" s="2564"/>
      <c r="M95" s="2564"/>
      <c r="N95" s="2564"/>
      <c r="O95" s="2564"/>
      <c r="P95" s="2564"/>
      <c r="Q95" s="2564"/>
      <c r="R95" s="2564"/>
      <c r="S95" s="2564"/>
      <c r="T95" s="2564"/>
      <c r="U95" s="2564"/>
      <c r="V95" s="2564"/>
      <c r="W95" s="2564"/>
      <c r="X95" s="2564"/>
      <c r="Y95" s="2564"/>
      <c r="Z95" s="2564"/>
      <c r="AA95" s="2564"/>
      <c r="AB95" s="1285"/>
      <c r="AC95" s="1355"/>
      <c r="AD95" s="1443"/>
      <c r="AE95" s="1355"/>
      <c r="AF95" s="1355"/>
      <c r="AG95" s="1355"/>
      <c r="AH95" s="897"/>
      <c r="AI95" s="897"/>
      <c r="AJ95" s="897"/>
      <c r="AK95" s="897"/>
      <c r="AL95" s="897"/>
      <c r="AM95" s="1735"/>
      <c r="AN95" s="1735"/>
      <c r="AO95" s="1735"/>
      <c r="AP95" s="1735"/>
      <c r="AQ95" s="1735"/>
      <c r="AR95" s="1735"/>
      <c r="AS95" s="1735"/>
      <c r="AT95" s="1735"/>
      <c r="AU95" s="1735"/>
      <c r="AV95" s="1735"/>
      <c r="AW95" s="897"/>
      <c r="AX95" s="897"/>
      <c r="AY95" s="897"/>
      <c r="AZ95" s="897"/>
      <c r="BA95" s="897"/>
      <c r="BB95" s="897"/>
      <c r="BC95" s="897"/>
      <c r="BG95" s="897"/>
      <c r="BH95" s="897"/>
      <c r="BI95" s="897"/>
      <c r="BJ95" s="897"/>
      <c r="BK95" s="897"/>
      <c r="BL95" s="897"/>
      <c r="BM95" s="897"/>
    </row>
    <row r="96" spans="1:68" s="35" customFormat="1" ht="51.75" thickBot="1">
      <c r="A96" s="22" t="s">
        <v>11</v>
      </c>
      <c r="B96" s="396" t="s">
        <v>12</v>
      </c>
      <c r="C96" s="22" t="s">
        <v>13</v>
      </c>
      <c r="D96" s="322" t="s">
        <v>14</v>
      </c>
      <c r="E96" s="322" t="s">
        <v>15</v>
      </c>
      <c r="F96" s="322" t="s">
        <v>16</v>
      </c>
      <c r="G96" s="322" t="s">
        <v>17</v>
      </c>
      <c r="H96" s="322" t="s">
        <v>18</v>
      </c>
      <c r="I96" s="322" t="s">
        <v>19</v>
      </c>
      <c r="J96" s="322" t="s">
        <v>20</v>
      </c>
      <c r="K96" s="322" t="s">
        <v>21</v>
      </c>
      <c r="L96" s="322" t="s">
        <v>22</v>
      </c>
      <c r="M96" s="484" t="s">
        <v>23</v>
      </c>
      <c r="N96" s="484" t="s">
        <v>24</v>
      </c>
      <c r="O96" s="484" t="s">
        <v>25</v>
      </c>
      <c r="P96" s="484" t="s">
        <v>26</v>
      </c>
      <c r="Q96" s="484" t="s">
        <v>27</v>
      </c>
      <c r="R96" s="484" t="s">
        <v>28</v>
      </c>
      <c r="S96" s="484" t="s">
        <v>29</v>
      </c>
      <c r="T96" s="484" t="s">
        <v>30</v>
      </c>
      <c r="U96" s="484" t="s">
        <v>31</v>
      </c>
      <c r="V96" s="484" t="s">
        <v>32</v>
      </c>
      <c r="W96" s="484" t="s">
        <v>33</v>
      </c>
      <c r="X96" s="484" t="s">
        <v>34</v>
      </c>
      <c r="Y96" s="322" t="s">
        <v>35</v>
      </c>
      <c r="Z96" s="485" t="s">
        <v>36</v>
      </c>
      <c r="AA96" s="322" t="s">
        <v>37</v>
      </c>
      <c r="AB96" s="1635" t="s">
        <v>38</v>
      </c>
      <c r="AC96" s="1613" t="s">
        <v>1781</v>
      </c>
      <c r="AD96" s="1636" t="s">
        <v>39</v>
      </c>
      <c r="AE96" s="1614" t="s">
        <v>1821</v>
      </c>
      <c r="AF96" s="1614" t="s">
        <v>1822</v>
      </c>
      <c r="AG96" s="1613" t="s">
        <v>1783</v>
      </c>
      <c r="AH96" s="1637" t="s">
        <v>40</v>
      </c>
      <c r="AI96" s="1637" t="s">
        <v>41</v>
      </c>
      <c r="AJ96" s="1637" t="s">
        <v>42</v>
      </c>
      <c r="AK96" s="1637" t="s">
        <v>43</v>
      </c>
      <c r="AL96" s="1637" t="s">
        <v>44</v>
      </c>
      <c r="AM96" s="1727" t="s">
        <v>45</v>
      </c>
      <c r="AN96" s="1727" t="s">
        <v>1781</v>
      </c>
      <c r="AO96" s="1727" t="s">
        <v>46</v>
      </c>
      <c r="AP96" s="1727" t="s">
        <v>2024</v>
      </c>
      <c r="AQ96" s="1727" t="s">
        <v>1785</v>
      </c>
      <c r="AR96" s="1727" t="s">
        <v>2164</v>
      </c>
      <c r="AS96" s="1727" t="s">
        <v>41</v>
      </c>
      <c r="AT96" s="1727" t="s">
        <v>42</v>
      </c>
      <c r="AU96" s="1727" t="s">
        <v>43</v>
      </c>
      <c r="AV96" s="1727" t="s">
        <v>44</v>
      </c>
      <c r="AW96" s="2067" t="s">
        <v>47</v>
      </c>
      <c r="AX96" s="2067" t="s">
        <v>1781</v>
      </c>
      <c r="AY96" s="2067" t="s">
        <v>48</v>
      </c>
      <c r="AZ96" s="2067" t="s">
        <v>2621</v>
      </c>
      <c r="BA96" s="2067" t="s">
        <v>1785</v>
      </c>
      <c r="BB96" s="2067" t="s">
        <v>2698</v>
      </c>
      <c r="BC96" s="2067" t="s">
        <v>41</v>
      </c>
      <c r="BD96" s="2067" t="s">
        <v>42</v>
      </c>
      <c r="BE96" s="2067" t="s">
        <v>43</v>
      </c>
      <c r="BF96" s="2067" t="s">
        <v>44</v>
      </c>
      <c r="BG96" s="2367" t="s">
        <v>49</v>
      </c>
      <c r="BH96" s="2367" t="s">
        <v>1781</v>
      </c>
      <c r="BI96" s="2367" t="s">
        <v>50</v>
      </c>
      <c r="BJ96" s="2367" t="s">
        <v>2857</v>
      </c>
      <c r="BK96" s="2367" t="s">
        <v>1785</v>
      </c>
      <c r="BL96" s="2367" t="s">
        <v>2947</v>
      </c>
      <c r="BM96" s="2367" t="s">
        <v>41</v>
      </c>
      <c r="BN96" s="2367" t="s">
        <v>42</v>
      </c>
      <c r="BO96" s="2367" t="s">
        <v>43</v>
      </c>
      <c r="BP96" s="2367" t="s">
        <v>44</v>
      </c>
    </row>
    <row r="97" spans="1:68" s="796" customFormat="1" ht="64.5" customHeight="1" thickBot="1">
      <c r="A97" s="2770">
        <v>1</v>
      </c>
      <c r="B97" s="2770" t="s">
        <v>131</v>
      </c>
      <c r="C97" s="2753" t="s">
        <v>503</v>
      </c>
      <c r="D97" s="891" t="s">
        <v>504</v>
      </c>
      <c r="E97" s="881" t="s">
        <v>72</v>
      </c>
      <c r="F97" s="879" t="s">
        <v>505</v>
      </c>
      <c r="G97" s="890" t="s">
        <v>73</v>
      </c>
      <c r="H97" s="857" t="s">
        <v>1364</v>
      </c>
      <c r="I97" s="872">
        <v>0.16666666666666669</v>
      </c>
      <c r="J97" s="802" t="s">
        <v>134</v>
      </c>
      <c r="K97" s="877">
        <v>42005</v>
      </c>
      <c r="L97" s="877">
        <v>42369</v>
      </c>
      <c r="M97" s="876"/>
      <c r="N97" s="876"/>
      <c r="O97" s="876"/>
      <c r="P97" s="876"/>
      <c r="Q97" s="876"/>
      <c r="R97" s="876"/>
      <c r="S97" s="876"/>
      <c r="T97" s="876"/>
      <c r="U97" s="876"/>
      <c r="V97" s="876"/>
      <c r="W97" s="876"/>
      <c r="X97" s="876"/>
      <c r="Y97" s="889" t="s">
        <v>506</v>
      </c>
      <c r="Z97" s="868">
        <v>0</v>
      </c>
      <c r="AA97" s="850" t="s">
        <v>1090</v>
      </c>
      <c r="AB97" s="1638">
        <f aca="true" t="shared" si="58" ref="AB97:AB104">SUM(M97:N97)</f>
        <v>0</v>
      </c>
      <c r="AC97" s="1634">
        <f aca="true" t="shared" si="59" ref="AC97:AC104">IF(AB97=0,0%,100%)</f>
        <v>0</v>
      </c>
      <c r="AD97" s="1639">
        <v>0</v>
      </c>
      <c r="AE97" s="1634" t="s">
        <v>1090</v>
      </c>
      <c r="AF97" s="1634" t="s">
        <v>1090</v>
      </c>
      <c r="AG97" s="1634" t="str">
        <f>AF97</f>
        <v>-</v>
      </c>
      <c r="AH97" s="1640">
        <v>1</v>
      </c>
      <c r="AI97" s="1642"/>
      <c r="AJ97" s="1642"/>
      <c r="AK97" s="1642" t="s">
        <v>1928</v>
      </c>
      <c r="AL97" s="1642"/>
      <c r="AM97" s="1742">
        <f>SUM(M97:P97)</f>
        <v>0</v>
      </c>
      <c r="AN97" s="1729">
        <f aca="true" t="shared" si="60" ref="AN97:AN104">IF(AM97=0,0%,100%)</f>
        <v>0</v>
      </c>
      <c r="AO97" s="1728">
        <v>0</v>
      </c>
      <c r="AP97" s="1729">
        <v>1</v>
      </c>
      <c r="AQ97" s="1729" t="s">
        <v>1090</v>
      </c>
      <c r="AR97" s="1729" t="str">
        <f aca="true" t="shared" si="61" ref="AR97:AR104">IF(AN97&gt;0,AP97,"-")</f>
        <v>-</v>
      </c>
      <c r="AS97" s="1749">
        <v>0</v>
      </c>
      <c r="AT97" s="1728"/>
      <c r="AU97" s="1728" t="s">
        <v>1928</v>
      </c>
      <c r="AV97" s="1728"/>
      <c r="AW97" s="2196">
        <f>SUM(M97:R97)</f>
        <v>0</v>
      </c>
      <c r="AX97" s="2218">
        <f aca="true" t="shared" si="62" ref="AX97:AX104">IF(AW97=0,0%,100%)</f>
        <v>0</v>
      </c>
      <c r="AY97" s="2196">
        <v>0</v>
      </c>
      <c r="AZ97" s="2218" t="s">
        <v>1090</v>
      </c>
      <c r="BA97" s="795"/>
      <c r="BB97" s="2218" t="s">
        <v>1090</v>
      </c>
      <c r="BC97" s="2308">
        <v>0</v>
      </c>
      <c r="BD97" s="795" t="s">
        <v>1090</v>
      </c>
      <c r="BE97" s="2196" t="s">
        <v>1928</v>
      </c>
      <c r="BF97" s="795"/>
      <c r="BG97" s="2392">
        <f>SUM(M97:T97)</f>
        <v>0</v>
      </c>
      <c r="BH97" s="2391">
        <f aca="true" t="shared" si="63" ref="BH97:BH104">IF(BG97=0,0%,100%)</f>
        <v>0</v>
      </c>
      <c r="BI97" s="2392" t="s">
        <v>1090</v>
      </c>
      <c r="BJ97" s="2391" t="s">
        <v>1090</v>
      </c>
      <c r="BK97" s="2393"/>
      <c r="BL97" s="2391" t="s">
        <v>1090</v>
      </c>
      <c r="BM97" s="2394"/>
      <c r="BN97" s="2393"/>
      <c r="BO97" s="2392" t="s">
        <v>1928</v>
      </c>
      <c r="BP97" s="2393"/>
    </row>
    <row r="98" spans="1:68" s="796" customFormat="1" ht="49.5" customHeight="1" thickBot="1">
      <c r="A98" s="2770"/>
      <c r="B98" s="2770"/>
      <c r="C98" s="2753"/>
      <c r="D98" s="874" t="s">
        <v>135</v>
      </c>
      <c r="E98" s="887" t="s">
        <v>136</v>
      </c>
      <c r="F98" s="888">
        <v>4</v>
      </c>
      <c r="G98" s="887" t="s">
        <v>137</v>
      </c>
      <c r="H98" s="857" t="s">
        <v>1364</v>
      </c>
      <c r="I98" s="872">
        <v>0.16666666666666669</v>
      </c>
      <c r="J98" s="809" t="s">
        <v>138</v>
      </c>
      <c r="K98" s="871">
        <v>42005</v>
      </c>
      <c r="L98" s="871">
        <v>42369</v>
      </c>
      <c r="M98" s="870"/>
      <c r="N98" s="870"/>
      <c r="O98" s="870">
        <v>1</v>
      </c>
      <c r="P98" s="870"/>
      <c r="Q98" s="870"/>
      <c r="R98" s="870">
        <v>1</v>
      </c>
      <c r="S98" s="870"/>
      <c r="T98" s="870"/>
      <c r="U98" s="870">
        <v>1</v>
      </c>
      <c r="V98" s="870"/>
      <c r="W98" s="870"/>
      <c r="X98" s="870">
        <v>1</v>
      </c>
      <c r="Y98" s="869">
        <v>4</v>
      </c>
      <c r="Z98" s="868">
        <v>0</v>
      </c>
      <c r="AA98" s="850" t="s">
        <v>1090</v>
      </c>
      <c r="AB98" s="1638">
        <f t="shared" si="58"/>
        <v>0</v>
      </c>
      <c r="AC98" s="1634">
        <f t="shared" si="59"/>
        <v>0</v>
      </c>
      <c r="AD98" s="1639">
        <v>0</v>
      </c>
      <c r="AE98" s="1634" t="s">
        <v>1090</v>
      </c>
      <c r="AF98" s="1634">
        <f aca="true" t="shared" si="64" ref="AF98:AF100">AD98/Y98</f>
        <v>0</v>
      </c>
      <c r="AG98" s="1634">
        <f aca="true" t="shared" si="65" ref="AG98:AG102">AF98</f>
        <v>0</v>
      </c>
      <c r="AH98" s="1640">
        <v>1</v>
      </c>
      <c r="AI98" s="1642"/>
      <c r="AJ98" s="1642"/>
      <c r="AK98" s="1642" t="s">
        <v>1929</v>
      </c>
      <c r="AL98" s="1642"/>
      <c r="AM98" s="1742">
        <f aca="true" t="shared" si="66" ref="AM98:AM102">SUM(M98:P98)</f>
        <v>1</v>
      </c>
      <c r="AN98" s="1729">
        <f t="shared" si="60"/>
        <v>1</v>
      </c>
      <c r="AO98" s="1728">
        <v>1</v>
      </c>
      <c r="AP98" s="1729">
        <v>1</v>
      </c>
      <c r="AQ98" s="1729">
        <f aca="true" t="shared" si="67" ref="AQ98:AQ100">AO98/Y98</f>
        <v>0.25</v>
      </c>
      <c r="AR98" s="1729">
        <v>0.25</v>
      </c>
      <c r="AS98" s="1749">
        <v>0</v>
      </c>
      <c r="AT98" s="1728"/>
      <c r="AU98" s="1728" t="s">
        <v>2251</v>
      </c>
      <c r="AV98" s="1728"/>
      <c r="AW98" s="2196">
        <f aca="true" t="shared" si="68" ref="AW98:AW102">SUM(M98:R98)</f>
        <v>2</v>
      </c>
      <c r="AX98" s="2218">
        <f t="shared" si="62"/>
        <v>1</v>
      </c>
      <c r="AY98" s="2196">
        <v>2</v>
      </c>
      <c r="AZ98" s="2218">
        <v>1</v>
      </c>
      <c r="BA98" s="795"/>
      <c r="BB98" s="2218">
        <v>0.5</v>
      </c>
      <c r="BC98" s="2308">
        <v>0</v>
      </c>
      <c r="BD98" s="795" t="s">
        <v>1090</v>
      </c>
      <c r="BE98" s="2196" t="s">
        <v>2251</v>
      </c>
      <c r="BF98" s="795"/>
      <c r="BG98" s="2392">
        <f aca="true" t="shared" si="69" ref="BG98:BG102">SUM(M98:T98)</f>
        <v>2</v>
      </c>
      <c r="BH98" s="2391">
        <f t="shared" si="63"/>
        <v>1</v>
      </c>
      <c r="BI98" s="2392">
        <v>2</v>
      </c>
      <c r="BJ98" s="2391">
        <v>1</v>
      </c>
      <c r="BK98" s="2393"/>
      <c r="BL98" s="2391">
        <v>0.5</v>
      </c>
      <c r="BM98" s="2394"/>
      <c r="BN98" s="2393"/>
      <c r="BO98" s="2392" t="s">
        <v>2251</v>
      </c>
      <c r="BP98" s="2393"/>
    </row>
    <row r="99" spans="1:68" s="796" customFormat="1" ht="46.5" customHeight="1" thickBot="1">
      <c r="A99" s="2770"/>
      <c r="B99" s="2770"/>
      <c r="C99" s="2756" t="s">
        <v>507</v>
      </c>
      <c r="D99" s="882" t="s">
        <v>151</v>
      </c>
      <c r="E99" s="885" t="s">
        <v>152</v>
      </c>
      <c r="F99" s="886">
        <v>12</v>
      </c>
      <c r="G99" s="885" t="s">
        <v>153</v>
      </c>
      <c r="H99" s="857" t="s">
        <v>1364</v>
      </c>
      <c r="I99" s="872">
        <v>0.16666666666666669</v>
      </c>
      <c r="J99" s="802" t="s">
        <v>154</v>
      </c>
      <c r="K99" s="877">
        <v>42006</v>
      </c>
      <c r="L99" s="877">
        <v>42369</v>
      </c>
      <c r="M99" s="876">
        <v>1</v>
      </c>
      <c r="N99" s="876">
        <v>1</v>
      </c>
      <c r="O99" s="876">
        <v>1</v>
      </c>
      <c r="P99" s="876">
        <v>1</v>
      </c>
      <c r="Q99" s="876">
        <v>1</v>
      </c>
      <c r="R99" s="876">
        <v>1</v>
      </c>
      <c r="S99" s="876">
        <v>1</v>
      </c>
      <c r="T99" s="876">
        <v>1</v>
      </c>
      <c r="U99" s="876">
        <v>1</v>
      </c>
      <c r="V99" s="876">
        <v>1</v>
      </c>
      <c r="W99" s="876">
        <v>1</v>
      </c>
      <c r="X99" s="876">
        <v>1</v>
      </c>
      <c r="Y99" s="875">
        <v>12</v>
      </c>
      <c r="Z99" s="868">
        <v>0</v>
      </c>
      <c r="AA99" s="850" t="s">
        <v>1090</v>
      </c>
      <c r="AB99" s="1638">
        <f t="shared" si="58"/>
        <v>2</v>
      </c>
      <c r="AC99" s="1634">
        <f t="shared" si="59"/>
        <v>1</v>
      </c>
      <c r="AD99" s="1639">
        <v>2</v>
      </c>
      <c r="AE99" s="1634">
        <f aca="true" t="shared" si="70" ref="AE99:AE100">AD99/AB99</f>
        <v>1</v>
      </c>
      <c r="AF99" s="1634">
        <f t="shared" si="64"/>
        <v>0.16666666666666666</v>
      </c>
      <c r="AG99" s="1634">
        <f t="shared" si="65"/>
        <v>0.16666666666666666</v>
      </c>
      <c r="AH99" s="1640">
        <v>1</v>
      </c>
      <c r="AI99" s="1642"/>
      <c r="AJ99" s="1642"/>
      <c r="AK99" s="1642" t="s">
        <v>1930</v>
      </c>
      <c r="AL99" s="1642"/>
      <c r="AM99" s="1742">
        <f t="shared" si="66"/>
        <v>4</v>
      </c>
      <c r="AN99" s="1729">
        <f t="shared" si="60"/>
        <v>1</v>
      </c>
      <c r="AO99" s="1728">
        <v>2</v>
      </c>
      <c r="AP99" s="1729">
        <v>1</v>
      </c>
      <c r="AQ99" s="1729">
        <f t="shared" si="67"/>
        <v>0.16666666666666666</v>
      </c>
      <c r="AR99" s="1729">
        <v>0.25</v>
      </c>
      <c r="AS99" s="1749">
        <v>0</v>
      </c>
      <c r="AT99" s="1728"/>
      <c r="AU99" s="1728" t="s">
        <v>2252</v>
      </c>
      <c r="AV99" s="1728"/>
      <c r="AW99" s="2196">
        <f t="shared" si="68"/>
        <v>6</v>
      </c>
      <c r="AX99" s="2218">
        <f t="shared" si="62"/>
        <v>1</v>
      </c>
      <c r="AY99" s="2196">
        <v>6</v>
      </c>
      <c r="AZ99" s="2218">
        <v>1</v>
      </c>
      <c r="BA99" s="795"/>
      <c r="BB99" s="2218">
        <v>0.5</v>
      </c>
      <c r="BC99" s="2308">
        <v>0</v>
      </c>
      <c r="BD99" s="795" t="s">
        <v>1090</v>
      </c>
      <c r="BE99" s="2196" t="s">
        <v>2252</v>
      </c>
      <c r="BF99" s="795"/>
      <c r="BG99" s="2392">
        <f t="shared" si="69"/>
        <v>8</v>
      </c>
      <c r="BH99" s="2391">
        <f t="shared" si="63"/>
        <v>1</v>
      </c>
      <c r="BI99" s="2392">
        <v>8</v>
      </c>
      <c r="BJ99" s="2391">
        <v>1</v>
      </c>
      <c r="BK99" s="2393"/>
      <c r="BL99" s="2391">
        <f>BI99/Y99</f>
        <v>0.6666666666666666</v>
      </c>
      <c r="BM99" s="2394"/>
      <c r="BN99" s="2393"/>
      <c r="BO99" s="2392" t="s">
        <v>2252</v>
      </c>
      <c r="BP99" s="2393"/>
    </row>
    <row r="100" spans="1:68" s="796" customFormat="1" ht="51.75" thickBot="1">
      <c r="A100" s="2770"/>
      <c r="B100" s="2770"/>
      <c r="C100" s="2756"/>
      <c r="D100" s="874" t="s">
        <v>155</v>
      </c>
      <c r="E100" s="884" t="s">
        <v>152</v>
      </c>
      <c r="F100" s="883">
        <v>12</v>
      </c>
      <c r="G100" s="873" t="s">
        <v>153</v>
      </c>
      <c r="H100" s="857" t="s">
        <v>1567</v>
      </c>
      <c r="I100" s="872">
        <v>0.16666666666666669</v>
      </c>
      <c r="J100" s="809" t="s">
        <v>154</v>
      </c>
      <c r="K100" s="871">
        <v>42006</v>
      </c>
      <c r="L100" s="871">
        <v>42369</v>
      </c>
      <c r="M100" s="870">
        <v>1</v>
      </c>
      <c r="N100" s="870">
        <v>1</v>
      </c>
      <c r="O100" s="870">
        <v>1</v>
      </c>
      <c r="P100" s="870">
        <v>1</v>
      </c>
      <c r="Q100" s="870">
        <v>1</v>
      </c>
      <c r="R100" s="870">
        <v>1</v>
      </c>
      <c r="S100" s="870">
        <v>1</v>
      </c>
      <c r="T100" s="870">
        <v>1</v>
      </c>
      <c r="U100" s="870">
        <v>1</v>
      </c>
      <c r="V100" s="870">
        <v>1</v>
      </c>
      <c r="W100" s="870">
        <v>1</v>
      </c>
      <c r="X100" s="870">
        <v>1</v>
      </c>
      <c r="Y100" s="869">
        <v>12</v>
      </c>
      <c r="Z100" s="868">
        <v>0</v>
      </c>
      <c r="AA100" s="850" t="s">
        <v>1090</v>
      </c>
      <c r="AB100" s="1638">
        <f t="shared" si="58"/>
        <v>2</v>
      </c>
      <c r="AC100" s="1634">
        <f t="shared" si="59"/>
        <v>1</v>
      </c>
      <c r="AD100" s="1639">
        <v>2</v>
      </c>
      <c r="AE100" s="1634">
        <f t="shared" si="70"/>
        <v>1</v>
      </c>
      <c r="AF100" s="1634">
        <f t="shared" si="64"/>
        <v>0.16666666666666666</v>
      </c>
      <c r="AG100" s="1634">
        <f t="shared" si="65"/>
        <v>0.16666666666666666</v>
      </c>
      <c r="AH100" s="1640">
        <v>1</v>
      </c>
      <c r="AI100" s="1642"/>
      <c r="AJ100" s="1642"/>
      <c r="AK100" s="1642" t="s">
        <v>1931</v>
      </c>
      <c r="AL100" s="1642"/>
      <c r="AM100" s="1742">
        <f t="shared" si="66"/>
        <v>4</v>
      </c>
      <c r="AN100" s="1729">
        <f t="shared" si="60"/>
        <v>1</v>
      </c>
      <c r="AO100" s="1728">
        <v>2</v>
      </c>
      <c r="AP100" s="1729">
        <v>1</v>
      </c>
      <c r="AQ100" s="1729">
        <f t="shared" si="67"/>
        <v>0.16666666666666666</v>
      </c>
      <c r="AR100" s="1729">
        <v>0.25</v>
      </c>
      <c r="AS100" s="1749">
        <v>0</v>
      </c>
      <c r="AT100" s="1728"/>
      <c r="AU100" s="1728" t="s">
        <v>2253</v>
      </c>
      <c r="AV100" s="1728"/>
      <c r="AW100" s="2196">
        <f t="shared" si="68"/>
        <v>6</v>
      </c>
      <c r="AX100" s="2218">
        <f t="shared" si="62"/>
        <v>1</v>
      </c>
      <c r="AY100" s="2196">
        <v>6</v>
      </c>
      <c r="AZ100" s="2218">
        <v>1</v>
      </c>
      <c r="BA100" s="795"/>
      <c r="BB100" s="2218">
        <v>0.5</v>
      </c>
      <c r="BC100" s="2308">
        <v>0</v>
      </c>
      <c r="BD100" s="795" t="s">
        <v>1090</v>
      </c>
      <c r="BE100" s="2196" t="s">
        <v>2253</v>
      </c>
      <c r="BF100" s="795"/>
      <c r="BG100" s="2392">
        <f t="shared" si="69"/>
        <v>8</v>
      </c>
      <c r="BH100" s="2391">
        <f t="shared" si="63"/>
        <v>1</v>
      </c>
      <c r="BI100" s="2392">
        <v>8</v>
      </c>
      <c r="BJ100" s="2391">
        <v>1</v>
      </c>
      <c r="BK100" s="2393"/>
      <c r="BL100" s="2391">
        <v>0.67</v>
      </c>
      <c r="BM100" s="2394"/>
      <c r="BN100" s="2393"/>
      <c r="BO100" s="2392" t="s">
        <v>2253</v>
      </c>
      <c r="BP100" s="2393"/>
    </row>
    <row r="101" spans="1:68" s="796" customFormat="1" ht="64.5" thickBot="1">
      <c r="A101" s="2770"/>
      <c r="B101" s="2770"/>
      <c r="C101" s="2756"/>
      <c r="D101" s="882" t="s">
        <v>156</v>
      </c>
      <c r="E101" s="881" t="s">
        <v>157</v>
      </c>
      <c r="F101" s="880" t="s">
        <v>140</v>
      </c>
      <c r="G101" s="879" t="s">
        <v>141</v>
      </c>
      <c r="H101" s="857" t="s">
        <v>1364</v>
      </c>
      <c r="I101" s="872">
        <v>0.16666666666666669</v>
      </c>
      <c r="J101" s="824" t="s">
        <v>158</v>
      </c>
      <c r="K101" s="878">
        <v>42006</v>
      </c>
      <c r="L101" s="877">
        <v>42369</v>
      </c>
      <c r="M101" s="876"/>
      <c r="N101" s="876"/>
      <c r="O101" s="876"/>
      <c r="P101" s="876"/>
      <c r="Q101" s="876"/>
      <c r="R101" s="876"/>
      <c r="S101" s="876"/>
      <c r="T101" s="876"/>
      <c r="U101" s="876"/>
      <c r="V101" s="876"/>
      <c r="W101" s="876"/>
      <c r="X101" s="876"/>
      <c r="Y101" s="875" t="s">
        <v>140</v>
      </c>
      <c r="Z101" s="868">
        <v>0</v>
      </c>
      <c r="AA101" s="850" t="s">
        <v>1090</v>
      </c>
      <c r="AB101" s="1638">
        <f t="shared" si="58"/>
        <v>0</v>
      </c>
      <c r="AC101" s="1634">
        <f t="shared" si="59"/>
        <v>0</v>
      </c>
      <c r="AD101" s="1639">
        <v>0</v>
      </c>
      <c r="AE101" s="1634" t="s">
        <v>1090</v>
      </c>
      <c r="AF101" s="1634" t="s">
        <v>1090</v>
      </c>
      <c r="AG101" s="1634" t="str">
        <f t="shared" si="65"/>
        <v>-</v>
      </c>
      <c r="AH101" s="1640">
        <v>1</v>
      </c>
      <c r="AI101" s="1642"/>
      <c r="AJ101" s="1642"/>
      <c r="AK101" s="1642" t="s">
        <v>1932</v>
      </c>
      <c r="AL101" s="1642"/>
      <c r="AM101" s="1742">
        <f t="shared" si="66"/>
        <v>0</v>
      </c>
      <c r="AN101" s="1729">
        <f t="shared" si="60"/>
        <v>0</v>
      </c>
      <c r="AO101" s="1728">
        <v>0</v>
      </c>
      <c r="AP101" s="1729">
        <v>1</v>
      </c>
      <c r="AQ101" s="1729" t="s">
        <v>1090</v>
      </c>
      <c r="AR101" s="1729" t="str">
        <f t="shared" si="61"/>
        <v>-</v>
      </c>
      <c r="AS101" s="1749">
        <v>0</v>
      </c>
      <c r="AT101" s="1728"/>
      <c r="AU101" s="1728" t="s">
        <v>1932</v>
      </c>
      <c r="AV101" s="1728"/>
      <c r="AW101" s="2196">
        <f t="shared" si="68"/>
        <v>0</v>
      </c>
      <c r="AX101" s="2218">
        <f t="shared" si="62"/>
        <v>0</v>
      </c>
      <c r="AY101" s="2196" t="s">
        <v>1090</v>
      </c>
      <c r="AZ101" s="2218" t="s">
        <v>1090</v>
      </c>
      <c r="BA101" s="795"/>
      <c r="BB101" s="2218" t="s">
        <v>1090</v>
      </c>
      <c r="BC101" s="2308">
        <v>0</v>
      </c>
      <c r="BD101" s="795" t="s">
        <v>1090</v>
      </c>
      <c r="BE101" s="2196" t="s">
        <v>1932</v>
      </c>
      <c r="BF101" s="795"/>
      <c r="BG101" s="2392">
        <f t="shared" si="69"/>
        <v>0</v>
      </c>
      <c r="BH101" s="2391">
        <f t="shared" si="63"/>
        <v>0</v>
      </c>
      <c r="BI101" s="2392" t="s">
        <v>1090</v>
      </c>
      <c r="BJ101" s="2391" t="s">
        <v>1090</v>
      </c>
      <c r="BK101" s="2393"/>
      <c r="BL101" s="2391" t="s">
        <v>1090</v>
      </c>
      <c r="BM101" s="2394"/>
      <c r="BN101" s="2393"/>
      <c r="BO101" s="2392" t="s">
        <v>1932</v>
      </c>
      <c r="BP101" s="2393"/>
    </row>
    <row r="102" spans="1:68" s="796" customFormat="1" ht="39" thickBot="1">
      <c r="A102" s="2770"/>
      <c r="B102" s="2770"/>
      <c r="C102" s="2756"/>
      <c r="D102" s="874" t="s">
        <v>147</v>
      </c>
      <c r="E102" s="859" t="s">
        <v>148</v>
      </c>
      <c r="F102" s="859" t="s">
        <v>149</v>
      </c>
      <c r="G102" s="873" t="s">
        <v>150</v>
      </c>
      <c r="H102" s="857" t="s">
        <v>1566</v>
      </c>
      <c r="I102" s="872">
        <v>0.16666666666666669</v>
      </c>
      <c r="J102" s="809" t="s">
        <v>148</v>
      </c>
      <c r="K102" s="871">
        <v>42006</v>
      </c>
      <c r="L102" s="871">
        <v>42369</v>
      </c>
      <c r="M102" s="870"/>
      <c r="N102" s="870"/>
      <c r="O102" s="870"/>
      <c r="P102" s="870"/>
      <c r="Q102" s="870"/>
      <c r="R102" s="870"/>
      <c r="S102" s="870"/>
      <c r="T102" s="870"/>
      <c r="U102" s="870"/>
      <c r="V102" s="870"/>
      <c r="W102" s="870"/>
      <c r="X102" s="870"/>
      <c r="Y102" s="869" t="s">
        <v>149</v>
      </c>
      <c r="Z102" s="868">
        <v>0</v>
      </c>
      <c r="AA102" s="850" t="s">
        <v>1090</v>
      </c>
      <c r="AB102" s="1638">
        <f t="shared" si="58"/>
        <v>0</v>
      </c>
      <c r="AC102" s="1634">
        <f t="shared" si="59"/>
        <v>0</v>
      </c>
      <c r="AD102" s="1639">
        <v>0</v>
      </c>
      <c r="AE102" s="1634" t="s">
        <v>1090</v>
      </c>
      <c r="AF102" s="1634" t="s">
        <v>1090</v>
      </c>
      <c r="AG102" s="1634" t="str">
        <f t="shared" si="65"/>
        <v>-</v>
      </c>
      <c r="AH102" s="1640">
        <v>1</v>
      </c>
      <c r="AI102" s="1642"/>
      <c r="AJ102" s="1642"/>
      <c r="AK102" s="1642" t="s">
        <v>1933</v>
      </c>
      <c r="AL102" s="1642"/>
      <c r="AM102" s="1742">
        <f t="shared" si="66"/>
        <v>0</v>
      </c>
      <c r="AN102" s="1729">
        <f t="shared" si="60"/>
        <v>0</v>
      </c>
      <c r="AO102" s="1728">
        <v>0</v>
      </c>
      <c r="AP102" s="1729">
        <v>1</v>
      </c>
      <c r="AQ102" s="1729" t="s">
        <v>1090</v>
      </c>
      <c r="AR102" s="1729" t="str">
        <f t="shared" si="61"/>
        <v>-</v>
      </c>
      <c r="AS102" s="1749">
        <v>0</v>
      </c>
      <c r="AT102" s="1728"/>
      <c r="AU102" s="1728" t="s">
        <v>2254</v>
      </c>
      <c r="AV102" s="1728"/>
      <c r="AW102" s="2196">
        <f t="shared" si="68"/>
        <v>0</v>
      </c>
      <c r="AX102" s="2218">
        <f t="shared" si="62"/>
        <v>0</v>
      </c>
      <c r="AY102" s="2196" t="s">
        <v>1090</v>
      </c>
      <c r="AZ102" s="2218" t="s">
        <v>1090</v>
      </c>
      <c r="BA102" s="795"/>
      <c r="BB102" s="2218" t="s">
        <v>1090</v>
      </c>
      <c r="BC102" s="2308">
        <v>0</v>
      </c>
      <c r="BD102" s="795" t="s">
        <v>1090</v>
      </c>
      <c r="BE102" s="2196" t="s">
        <v>2254</v>
      </c>
      <c r="BF102" s="795"/>
      <c r="BG102" s="2392">
        <f t="shared" si="69"/>
        <v>0</v>
      </c>
      <c r="BH102" s="2391">
        <f t="shared" si="63"/>
        <v>0</v>
      </c>
      <c r="BI102" s="2392" t="s">
        <v>1090</v>
      </c>
      <c r="BJ102" s="2391" t="s">
        <v>1090</v>
      </c>
      <c r="BK102" s="2393"/>
      <c r="BL102" s="2391" t="s">
        <v>1090</v>
      </c>
      <c r="BM102" s="2394"/>
      <c r="BN102" s="2393"/>
      <c r="BO102" s="2392" t="s">
        <v>2254</v>
      </c>
      <c r="BP102" s="2393"/>
    </row>
    <row r="103" spans="1:68" s="842" customFormat="1" ht="20.1" customHeight="1" thickBot="1">
      <c r="A103" s="2556" t="s">
        <v>130</v>
      </c>
      <c r="B103" s="2556"/>
      <c r="C103" s="2556"/>
      <c r="D103" s="2556"/>
      <c r="E103" s="848"/>
      <c r="F103" s="848"/>
      <c r="G103" s="848"/>
      <c r="H103" s="867"/>
      <c r="I103" s="866">
        <f>+SUM(I97:I102)</f>
        <v>1.0000000000000002</v>
      </c>
      <c r="J103" s="848"/>
      <c r="K103" s="848"/>
      <c r="L103" s="848"/>
      <c r="M103" s="848"/>
      <c r="N103" s="848"/>
      <c r="O103" s="848"/>
      <c r="P103" s="848"/>
      <c r="Q103" s="848"/>
      <c r="R103" s="848"/>
      <c r="S103" s="848"/>
      <c r="T103" s="848"/>
      <c r="U103" s="848"/>
      <c r="V103" s="848"/>
      <c r="W103" s="848"/>
      <c r="X103" s="848"/>
      <c r="Y103" s="865"/>
      <c r="Z103" s="864">
        <f>SUM(Z97:Z102)</f>
        <v>0</v>
      </c>
      <c r="AA103" s="846"/>
      <c r="AB103" s="1535"/>
      <c r="AC103" s="1536">
        <f>AVERAGEIF(AC97:AC102,"&gt;0")</f>
        <v>1</v>
      </c>
      <c r="AD103" s="1537"/>
      <c r="AE103" s="1536">
        <f>AVERAGE(AE97:AE102)</f>
        <v>1</v>
      </c>
      <c r="AF103" s="1536"/>
      <c r="AG103" s="1536">
        <f>AVERAGE(AG97:AG102)</f>
        <v>0.1111111111111111</v>
      </c>
      <c r="AH103" s="846"/>
      <c r="AI103" s="846"/>
      <c r="AJ103" s="846"/>
      <c r="AK103" s="846"/>
      <c r="AL103" s="846"/>
      <c r="AM103" s="1732"/>
      <c r="AN103" s="1868">
        <f>AVERAGEIF(AN92:AN102,"&gt;0")</f>
        <v>1</v>
      </c>
      <c r="AO103" s="1732"/>
      <c r="AP103" s="1872">
        <f>AVERAGE(AP97:AP102)</f>
        <v>1</v>
      </c>
      <c r="AQ103" s="1872"/>
      <c r="AR103" s="1872">
        <f>AVERAGE(AR97:AR102)</f>
        <v>0.25</v>
      </c>
      <c r="AS103" s="1732"/>
      <c r="AT103" s="1732"/>
      <c r="AU103" s="1732"/>
      <c r="AV103" s="1732"/>
      <c r="AW103" s="2245"/>
      <c r="AX103" s="2252">
        <v>1</v>
      </c>
      <c r="AY103" s="844"/>
      <c r="AZ103" s="2254">
        <f>AVERAGE(AZ97:AZ102)</f>
        <v>1</v>
      </c>
      <c r="BA103" s="844"/>
      <c r="BB103" s="2264">
        <f>AVERAGE(BB97:BB102)</f>
        <v>0.5</v>
      </c>
      <c r="BC103" s="844"/>
      <c r="BD103" s="844"/>
      <c r="BE103" s="844"/>
      <c r="BF103" s="844"/>
      <c r="BG103" s="2254">
        <v>1</v>
      </c>
      <c r="BH103" s="2252"/>
      <c r="BI103" s="844"/>
      <c r="BJ103" s="2254">
        <f>AVERAGE(BJ97:BJ102)</f>
        <v>1</v>
      </c>
      <c r="BK103" s="844"/>
      <c r="BL103" s="2264">
        <f>AVERAGE(BL97:BL102)</f>
        <v>0.6122222222222221</v>
      </c>
      <c r="BM103" s="844"/>
      <c r="BN103" s="844"/>
      <c r="BO103" s="844"/>
      <c r="BP103" s="844"/>
    </row>
    <row r="104" spans="1:68" s="796" customFormat="1" ht="39" thickBot="1">
      <c r="A104" s="863">
        <v>2</v>
      </c>
      <c r="B104" s="863" t="s">
        <v>228</v>
      </c>
      <c r="C104" s="862" t="s">
        <v>237</v>
      </c>
      <c r="D104" s="861" t="s">
        <v>545</v>
      </c>
      <c r="E104" s="860" t="s">
        <v>148</v>
      </c>
      <c r="F104" s="859" t="s">
        <v>149</v>
      </c>
      <c r="G104" s="858" t="s">
        <v>150</v>
      </c>
      <c r="H104" s="857" t="s">
        <v>1566</v>
      </c>
      <c r="I104" s="856">
        <v>1</v>
      </c>
      <c r="J104" s="855" t="s">
        <v>260</v>
      </c>
      <c r="K104" s="854">
        <v>42006</v>
      </c>
      <c r="L104" s="854">
        <v>42369</v>
      </c>
      <c r="M104" s="853"/>
      <c r="N104" s="853"/>
      <c r="O104" s="853"/>
      <c r="P104" s="853"/>
      <c r="Q104" s="853"/>
      <c r="R104" s="853"/>
      <c r="S104" s="853"/>
      <c r="T104" s="853"/>
      <c r="U104" s="791"/>
      <c r="V104" s="791"/>
      <c r="W104" s="791"/>
      <c r="X104" s="791"/>
      <c r="Y104" s="852" t="s">
        <v>149</v>
      </c>
      <c r="Z104" s="851">
        <v>0</v>
      </c>
      <c r="AA104" s="850" t="s">
        <v>1090</v>
      </c>
      <c r="AB104" s="1638">
        <f t="shared" si="58"/>
        <v>0</v>
      </c>
      <c r="AC104" s="1634">
        <f t="shared" si="59"/>
        <v>0</v>
      </c>
      <c r="AD104" s="1639">
        <v>0</v>
      </c>
      <c r="AE104" s="1634" t="s">
        <v>1090</v>
      </c>
      <c r="AF104" s="1634" t="s">
        <v>1090</v>
      </c>
      <c r="AG104" s="1634" t="str">
        <f>AF104</f>
        <v>-</v>
      </c>
      <c r="AH104" s="1646">
        <v>1</v>
      </c>
      <c r="AI104" s="1642"/>
      <c r="AJ104" s="1642"/>
      <c r="AK104" s="1642" t="s">
        <v>1934</v>
      </c>
      <c r="AL104" s="1642"/>
      <c r="AM104" s="1741">
        <f>SUM(M104:P104)</f>
        <v>0</v>
      </c>
      <c r="AN104" s="1729">
        <f t="shared" si="60"/>
        <v>0</v>
      </c>
      <c r="AO104" s="1728">
        <v>0</v>
      </c>
      <c r="AP104" s="1729">
        <v>1</v>
      </c>
      <c r="AQ104" s="1729" t="s">
        <v>1090</v>
      </c>
      <c r="AR104" s="1729" t="str">
        <f t="shared" si="61"/>
        <v>-</v>
      </c>
      <c r="AS104" s="1749">
        <v>0</v>
      </c>
      <c r="AT104" s="1728"/>
      <c r="AU104" s="1728" t="s">
        <v>2254</v>
      </c>
      <c r="AV104" s="1728"/>
      <c r="AW104" s="2196">
        <f>SUM(M104:R104)</f>
        <v>0</v>
      </c>
      <c r="AX104" s="2218">
        <f t="shared" si="62"/>
        <v>0</v>
      </c>
      <c r="AY104" s="2196" t="s">
        <v>1090</v>
      </c>
      <c r="AZ104" s="2218" t="s">
        <v>1090</v>
      </c>
      <c r="BA104" s="795"/>
      <c r="BB104" s="2218" t="s">
        <v>1090</v>
      </c>
      <c r="BC104" s="2308">
        <v>0</v>
      </c>
      <c r="BD104" s="795" t="s">
        <v>1090</v>
      </c>
      <c r="BE104" s="2196" t="s">
        <v>2254</v>
      </c>
      <c r="BF104" s="795"/>
      <c r="BG104" s="2392">
        <f>SUM(M104:T104)</f>
        <v>0</v>
      </c>
      <c r="BH104" s="2391">
        <f t="shared" si="63"/>
        <v>0</v>
      </c>
      <c r="BI104" s="2392" t="s">
        <v>1090</v>
      </c>
      <c r="BJ104" s="2391" t="s">
        <v>1090</v>
      </c>
      <c r="BK104" s="2393"/>
      <c r="BL104" s="2391" t="s">
        <v>1090</v>
      </c>
      <c r="BM104" s="2394"/>
      <c r="BN104" s="2393"/>
      <c r="BO104" s="2392" t="s">
        <v>2254</v>
      </c>
      <c r="BP104" s="2393"/>
    </row>
    <row r="105" spans="1:68" s="842" customFormat="1" ht="20.1" customHeight="1" thickBot="1">
      <c r="A105" s="2556" t="s">
        <v>130</v>
      </c>
      <c r="B105" s="2556"/>
      <c r="C105" s="2556"/>
      <c r="D105" s="2556"/>
      <c r="E105" s="848"/>
      <c r="F105" s="848"/>
      <c r="G105" s="848"/>
      <c r="H105" s="848"/>
      <c r="I105" s="849">
        <f>SUM(I104)</f>
        <v>1</v>
      </c>
      <c r="J105" s="848"/>
      <c r="K105" s="848"/>
      <c r="L105" s="848"/>
      <c r="M105" s="848"/>
      <c r="N105" s="848"/>
      <c r="O105" s="848"/>
      <c r="P105" s="848"/>
      <c r="Q105" s="848"/>
      <c r="R105" s="848"/>
      <c r="S105" s="848"/>
      <c r="T105" s="848"/>
      <c r="U105" s="848"/>
      <c r="V105" s="848"/>
      <c r="W105" s="848"/>
      <c r="X105" s="848"/>
      <c r="Y105" s="848"/>
      <c r="Z105" s="847">
        <f>SUM(Z104)</f>
        <v>0</v>
      </c>
      <c r="AA105" s="846"/>
      <c r="AB105" s="1531"/>
      <c r="AC105" s="1532" t="s">
        <v>1090</v>
      </c>
      <c r="AD105" s="1533"/>
      <c r="AE105" s="1532" t="s">
        <v>1090</v>
      </c>
      <c r="AF105" s="1532"/>
      <c r="AG105" s="1532" t="s">
        <v>1090</v>
      </c>
      <c r="AH105" s="845"/>
      <c r="AI105" s="845"/>
      <c r="AJ105" s="845"/>
      <c r="AK105" s="845"/>
      <c r="AL105" s="845"/>
      <c r="AM105" s="844"/>
      <c r="AN105" s="1871" t="s">
        <v>1090</v>
      </c>
      <c r="AO105" s="844"/>
      <c r="AP105" s="1874">
        <f>AVERAGE(AP104)</f>
        <v>1</v>
      </c>
      <c r="AQ105" s="844"/>
      <c r="AR105" s="1874" t="s">
        <v>1090</v>
      </c>
      <c r="AS105" s="844"/>
      <c r="AT105" s="844"/>
      <c r="AU105" s="844"/>
      <c r="AV105" s="844"/>
      <c r="AW105" s="844"/>
      <c r="AX105" s="2252">
        <v>1</v>
      </c>
      <c r="AY105" s="844"/>
      <c r="AZ105" s="2245" t="s">
        <v>1090</v>
      </c>
      <c r="BA105" s="844"/>
      <c r="BB105" s="2264" t="s">
        <v>1090</v>
      </c>
      <c r="BC105" s="844"/>
      <c r="BD105" s="844"/>
      <c r="BE105" s="844"/>
      <c r="BF105" s="844"/>
      <c r="BG105" s="2254">
        <v>1</v>
      </c>
      <c r="BH105" s="2252"/>
      <c r="BI105" s="844"/>
      <c r="BJ105" s="2245" t="s">
        <v>1090</v>
      </c>
      <c r="BK105" s="844"/>
      <c r="BL105" s="2264" t="s">
        <v>1090</v>
      </c>
      <c r="BM105" s="844"/>
      <c r="BN105" s="844"/>
      <c r="BO105" s="844"/>
      <c r="BP105" s="844"/>
    </row>
    <row r="106" spans="1:68" s="842" customFormat="1" ht="20.1" customHeight="1" thickBot="1">
      <c r="A106" s="2563" t="s">
        <v>290</v>
      </c>
      <c r="B106" s="2563"/>
      <c r="C106" s="2563"/>
      <c r="D106" s="2563"/>
      <c r="E106" s="1090"/>
      <c r="F106" s="1091"/>
      <c r="G106" s="1091"/>
      <c r="H106" s="1091"/>
      <c r="I106" s="1091"/>
      <c r="J106" s="1091"/>
      <c r="K106" s="1091"/>
      <c r="L106" s="1091"/>
      <c r="M106" s="1091"/>
      <c r="N106" s="1091"/>
      <c r="O106" s="1091"/>
      <c r="P106" s="1091"/>
      <c r="Q106" s="1091"/>
      <c r="R106" s="1091"/>
      <c r="S106" s="1091"/>
      <c r="T106" s="1091"/>
      <c r="U106" s="1091"/>
      <c r="V106" s="1091"/>
      <c r="W106" s="1091"/>
      <c r="X106" s="1091"/>
      <c r="Y106" s="1091"/>
      <c r="Z106" s="1092">
        <f>SUM(Z105,Z103)</f>
        <v>0</v>
      </c>
      <c r="AA106" s="1093"/>
      <c r="AB106" s="1093"/>
      <c r="AC106" s="1356">
        <f>AVERAGE(AC105,AC103)</f>
        <v>1</v>
      </c>
      <c r="AD106" s="1445"/>
      <c r="AE106" s="1356">
        <f>AVERAGE(AE105,AE103)</f>
        <v>1</v>
      </c>
      <c r="AF106" s="1356"/>
      <c r="AG106" s="1356">
        <f>AVERAGE(AG105,AG103)</f>
        <v>0.1111111111111111</v>
      </c>
      <c r="AH106" s="1093"/>
      <c r="AI106" s="1093"/>
      <c r="AJ106" s="1093"/>
      <c r="AK106" s="1093"/>
      <c r="AL106" s="1093"/>
      <c r="AM106" s="843"/>
      <c r="AN106" s="1909">
        <f>AVERAGE(AN105,AN103)</f>
        <v>1</v>
      </c>
      <c r="AO106" s="843"/>
      <c r="AP106" s="1909">
        <f>AVERAGE(AP105,AP103)</f>
        <v>1</v>
      </c>
      <c r="AQ106" s="843"/>
      <c r="AR106" s="1909">
        <f>AVERAGE(AR105,AR103)</f>
        <v>0.25</v>
      </c>
      <c r="AS106" s="843"/>
      <c r="AT106" s="843"/>
      <c r="AU106" s="843"/>
      <c r="AV106" s="843"/>
      <c r="AW106" s="843"/>
      <c r="AX106" s="2259">
        <v>1</v>
      </c>
      <c r="AY106" s="843"/>
      <c r="AZ106" s="2227">
        <f>AVERAGE(AZ105,AZ103)</f>
        <v>1</v>
      </c>
      <c r="BA106" s="843"/>
      <c r="BB106" s="2260">
        <f>AVERAGE(BB105,BB103)</f>
        <v>0.5</v>
      </c>
      <c r="BC106" s="843"/>
      <c r="BD106" s="843"/>
      <c r="BE106" s="843"/>
      <c r="BF106" s="843"/>
      <c r="BG106" s="2463">
        <v>1</v>
      </c>
      <c r="BH106" s="2468"/>
      <c r="BI106" s="2469"/>
      <c r="BJ106" s="2463">
        <f>AVERAGE(BJ105,BJ103)</f>
        <v>1</v>
      </c>
      <c r="BK106" s="2469"/>
      <c r="BL106" s="2463">
        <f>AVERAGE(BL105,BL103)</f>
        <v>0.6122222222222221</v>
      </c>
      <c r="BM106" s="843"/>
      <c r="BN106" s="843"/>
      <c r="BO106" s="843"/>
      <c r="BP106" s="843"/>
    </row>
    <row r="107" spans="1:68" s="833" customFormat="1" ht="20.1" customHeight="1" thickBot="1">
      <c r="A107" s="841"/>
      <c r="B107" s="840"/>
      <c r="C107" s="835"/>
      <c r="D107" s="835"/>
      <c r="E107" s="835"/>
      <c r="F107" s="839"/>
      <c r="G107" s="835"/>
      <c r="H107" s="835"/>
      <c r="I107" s="838"/>
      <c r="J107" s="835"/>
      <c r="K107" s="837"/>
      <c r="L107" s="837"/>
      <c r="M107" s="835"/>
      <c r="N107" s="835"/>
      <c r="O107" s="835"/>
      <c r="P107" s="835"/>
      <c r="Q107" s="835"/>
      <c r="R107" s="835"/>
      <c r="S107" s="835"/>
      <c r="T107" s="835"/>
      <c r="U107" s="835"/>
      <c r="V107" s="835"/>
      <c r="W107" s="835"/>
      <c r="X107" s="835"/>
      <c r="Y107" s="835"/>
      <c r="Z107" s="836">
        <f>SUM(Z106,Z92,Z58)</f>
        <v>42439463628</v>
      </c>
      <c r="AA107" s="835"/>
      <c r="AB107" s="1461"/>
      <c r="AC107" s="1541">
        <f>AVERAGE(AC106,AC92,AC58)</f>
        <v>1</v>
      </c>
      <c r="AD107" s="1542"/>
      <c r="AE107" s="1541">
        <f>AVERAGE(AE106,AE92,AE58)</f>
        <v>1</v>
      </c>
      <c r="AF107" s="1541"/>
      <c r="AG107" s="1541">
        <f>AVERAGE(AG106,AG92,AG58)</f>
        <v>0.0540724707391374</v>
      </c>
      <c r="AH107" s="1462"/>
      <c r="AI107" s="834"/>
      <c r="AJ107" s="834"/>
      <c r="AK107" s="834"/>
      <c r="AL107" s="834"/>
      <c r="AM107" s="1910"/>
      <c r="AN107" s="1911">
        <f>AVERAGE(AN106,AN92,AN58)</f>
        <v>1</v>
      </c>
      <c r="AO107" s="1910"/>
      <c r="AP107" s="1911">
        <f>AVERAGE(AP106,AP92,AP58)</f>
        <v>0.6442938535683633</v>
      </c>
      <c r="AQ107" s="1910"/>
      <c r="AR107" s="1911">
        <f>AVERAGE(AR106,AR92,AR58)</f>
        <v>0.215530303030303</v>
      </c>
      <c r="AS107" s="1910"/>
      <c r="AT107" s="1910"/>
      <c r="AU107" s="1910"/>
      <c r="AV107" s="834"/>
      <c r="AW107" s="834"/>
      <c r="AX107" s="2266">
        <v>1</v>
      </c>
      <c r="AY107" s="834"/>
      <c r="AZ107" s="2265">
        <f>AVERAGE(AZ106,AZ92,AZ58)</f>
        <v>0.9166666666666666</v>
      </c>
      <c r="BA107" s="834"/>
      <c r="BB107" s="2230">
        <f>AVERAGE(BB106,BB92,BB58)</f>
        <v>0.3330503447170114</v>
      </c>
      <c r="BC107" s="834"/>
      <c r="BD107" s="834"/>
      <c r="BE107" s="834"/>
      <c r="BF107" s="834"/>
      <c r="BG107" s="1491">
        <v>1</v>
      </c>
      <c r="BH107" s="2470"/>
      <c r="BI107" s="1492"/>
      <c r="BJ107" s="1491">
        <f>AVERAGE(BJ106,BJ92,BJ58)</f>
        <v>0.8424691358024692</v>
      </c>
      <c r="BK107" s="1492"/>
      <c r="BL107" s="1491">
        <f>AVERAGE(BL106,BL92,BL58)</f>
        <v>0.5176723585056918</v>
      </c>
      <c r="BM107" s="1492"/>
      <c r="BN107" s="834"/>
      <c r="BO107" s="834"/>
      <c r="BP107" s="834"/>
    </row>
    <row r="108" spans="25:26" ht="15">
      <c r="Y108" s="830" t="s">
        <v>1508</v>
      </c>
      <c r="Z108" s="832">
        <f>SUM(Z39,Z40)</f>
        <v>53438628</v>
      </c>
    </row>
    <row r="129" ht="15">
      <c r="C129" s="830">
        <f>2300000*2/100</f>
        <v>46000</v>
      </c>
    </row>
  </sheetData>
  <sheetProtection selectLockedCells="1" selectUnlockedCells="1"/>
  <mergeCells count="93">
    <mergeCell ref="BG5:BP9"/>
    <mergeCell ref="BG11:BP11"/>
    <mergeCell ref="BG13:BP13"/>
    <mergeCell ref="BG60:BP60"/>
    <mergeCell ref="BG94:BP94"/>
    <mergeCell ref="A103:D103"/>
    <mergeCell ref="A105:D105"/>
    <mergeCell ref="A106:D106"/>
    <mergeCell ref="A93:AA93"/>
    <mergeCell ref="AM94:AV94"/>
    <mergeCell ref="A95:AA95"/>
    <mergeCell ref="A97:A102"/>
    <mergeCell ref="B97:B102"/>
    <mergeCell ref="C97:C98"/>
    <mergeCell ref="C99:C102"/>
    <mergeCell ref="E94:AA94"/>
    <mergeCell ref="AB94:AL94"/>
    <mergeCell ref="A80:A90"/>
    <mergeCell ref="B80:B90"/>
    <mergeCell ref="C80:C85"/>
    <mergeCell ref="A91:D91"/>
    <mergeCell ref="A92:D92"/>
    <mergeCell ref="AW94:BF94"/>
    <mergeCell ref="A69:D69"/>
    <mergeCell ref="A70:A78"/>
    <mergeCell ref="B70:B78"/>
    <mergeCell ref="C70:C75"/>
    <mergeCell ref="C76:C78"/>
    <mergeCell ref="A79:D79"/>
    <mergeCell ref="L87:L88"/>
    <mergeCell ref="Z87:Z88"/>
    <mergeCell ref="C86:C89"/>
    <mergeCell ref="D87:D88"/>
    <mergeCell ref="H87:H88"/>
    <mergeCell ref="J87:J88"/>
    <mergeCell ref="I87:I88"/>
    <mergeCell ref="K87:K88"/>
    <mergeCell ref="A94:D94"/>
    <mergeCell ref="A63:A68"/>
    <mergeCell ref="B63:B68"/>
    <mergeCell ref="C64:C65"/>
    <mergeCell ref="A57:D57"/>
    <mergeCell ref="A58:D58"/>
    <mergeCell ref="A59:AA59"/>
    <mergeCell ref="A60:D60"/>
    <mergeCell ref="E60:AA60"/>
    <mergeCell ref="AB60:AL60"/>
    <mergeCell ref="AM60:AV60"/>
    <mergeCell ref="AW60:BF60"/>
    <mergeCell ref="A45:D45"/>
    <mergeCell ref="A46:A56"/>
    <mergeCell ref="B46:B56"/>
    <mergeCell ref="C46:C56"/>
    <mergeCell ref="D49:D50"/>
    <mergeCell ref="A27:D27"/>
    <mergeCell ref="A28:A44"/>
    <mergeCell ref="B28:B44"/>
    <mergeCell ref="C28:C34"/>
    <mergeCell ref="C35:C38"/>
    <mergeCell ref="D37:D38"/>
    <mergeCell ref="C39:C40"/>
    <mergeCell ref="D43:D44"/>
    <mergeCell ref="C42:C44"/>
    <mergeCell ref="A16:A26"/>
    <mergeCell ref="B16:B26"/>
    <mergeCell ref="C16:C17"/>
    <mergeCell ref="C18:C20"/>
    <mergeCell ref="C21:C22"/>
    <mergeCell ref="C23:C26"/>
    <mergeCell ref="AM13:AV13"/>
    <mergeCell ref="AW11:BF11"/>
    <mergeCell ref="AW13:BF13"/>
    <mergeCell ref="AM11:AV11"/>
    <mergeCell ref="A14:AA14"/>
    <mergeCell ref="A11:D11"/>
    <mergeCell ref="E11:AA11"/>
    <mergeCell ref="AB11:AL11"/>
    <mergeCell ref="A13:D13"/>
    <mergeCell ref="E13:AA13"/>
    <mergeCell ref="AB13:AL13"/>
    <mergeCell ref="A7:AA7"/>
    <mergeCell ref="AB7:AL9"/>
    <mergeCell ref="AM7:AV9"/>
    <mergeCell ref="AW5:BF9"/>
    <mergeCell ref="A8:AA8"/>
    <mergeCell ref="A9:AA9"/>
    <mergeCell ref="A1:C4"/>
    <mergeCell ref="D1:BC2"/>
    <mergeCell ref="D3:BC4"/>
    <mergeCell ref="A5:AA5"/>
    <mergeCell ref="AB5:AL6"/>
    <mergeCell ref="AM5:AV6"/>
    <mergeCell ref="A6:AA6"/>
  </mergeCells>
  <printOptions/>
  <pageMargins left="0.7086614173228347" right="0.7086614173228347" top="0.7480314960629921" bottom="0.7480314960629921" header="0.5118110236220472" footer="0.5118110236220472"/>
  <pageSetup horizontalDpi="600" verticalDpi="600" orientation="landscape" scale="60" r:id="rId2"/>
  <colBreaks count="1" manualBreakCount="1">
    <brk id="8" max="16383"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9"/>
  <sheetViews>
    <sheetView zoomScale="80" zoomScaleNormal="80" workbookViewId="0" topLeftCell="A1">
      <pane xSplit="4" ySplit="11" topLeftCell="M12" activePane="bottomRight" state="frozen"/>
      <selection pane="topRight" activeCell="E1" sqref="E1"/>
      <selection pane="bottomLeft" activeCell="A12" sqref="A12"/>
      <selection pane="bottomRight" activeCell="BF1" sqref="AB1:BF1048576"/>
    </sheetView>
  </sheetViews>
  <sheetFormatPr defaultColWidth="11.421875" defaultRowHeight="15"/>
  <cols>
    <col min="1" max="1" width="6.421875" style="2" customWidth="1"/>
    <col min="2" max="2" width="26.140625" style="1" customWidth="1"/>
    <col min="3" max="3" width="24.57421875" style="2" customWidth="1"/>
    <col min="4" max="4" width="25.28125" style="2" customWidth="1"/>
    <col min="5" max="5" width="14.28125" style="2" customWidth="1"/>
    <col min="6" max="6" width="7.00390625" style="2" customWidth="1"/>
    <col min="7" max="7" width="27.421875" style="2" customWidth="1"/>
    <col min="8" max="8" width="18.00390625" style="2" customWidth="1"/>
    <col min="9" max="9" width="13.7109375" style="2" bestFit="1" customWidth="1"/>
    <col min="10" max="10" width="39.140625" style="2" customWidth="1"/>
    <col min="11" max="11" width="10.7109375" style="2" customWidth="1"/>
    <col min="12" max="12" width="11.28125" style="2" customWidth="1"/>
    <col min="13" max="24" width="4.57421875" style="2" customWidth="1"/>
    <col min="25" max="25" width="19.421875" style="272" customWidth="1"/>
    <col min="26" max="26" width="20.7109375" style="308" customWidth="1"/>
    <col min="27" max="27" width="22.140625" style="2" customWidth="1"/>
    <col min="28" max="28" width="11.421875" style="2" hidden="1" customWidth="1"/>
    <col min="29" max="29" width="13.8515625" style="1343" hidden="1" customWidth="1"/>
    <col min="30" max="30" width="11.421875" style="1520" hidden="1" customWidth="1"/>
    <col min="31" max="32" width="11.421875" style="1369" hidden="1" customWidth="1"/>
    <col min="33" max="33" width="14.421875" style="1321" hidden="1" customWidth="1"/>
    <col min="34" max="36" width="11.421875" style="2" hidden="1" customWidth="1"/>
    <col min="37" max="37" width="34.8515625" style="2" hidden="1" customWidth="1"/>
    <col min="38" max="38" width="22.28125" style="2" hidden="1" customWidth="1"/>
    <col min="39" max="39" width="11.421875" style="2" hidden="1" customWidth="1"/>
    <col min="40" max="40" width="11.421875" style="1650" hidden="1" customWidth="1"/>
    <col min="41" max="41" width="11.421875" style="2" hidden="1" customWidth="1"/>
    <col min="42" max="44" width="11.421875" style="1650" hidden="1" customWidth="1"/>
    <col min="45" max="46" width="11.421875" style="2" hidden="1" customWidth="1"/>
    <col min="47" max="47" width="41.57421875" style="2" hidden="1" customWidth="1"/>
    <col min="48" max="48" width="30.421875" style="2" hidden="1" customWidth="1"/>
    <col min="49" max="53" width="11.421875" style="2" hidden="1" customWidth="1"/>
    <col min="54" max="54" width="22.00390625" style="2" hidden="1" customWidth="1"/>
    <col min="55" max="55" width="31.00390625" style="2" hidden="1" customWidth="1"/>
    <col min="56" max="56" width="11.421875" style="2" hidden="1" customWidth="1"/>
    <col min="57" max="57" width="33.8515625" style="2" hidden="1" customWidth="1"/>
    <col min="58" max="58" width="30.8515625" style="2" hidden="1" customWidth="1"/>
    <col min="59" max="66" width="11.421875" style="2" customWidth="1"/>
    <col min="67" max="67" width="24.00390625" style="2" customWidth="1"/>
    <col min="68" max="68" width="15.57421875" style="2" customWidth="1"/>
    <col min="69" max="16384" width="11.421875" style="2" customWidth="1"/>
  </cols>
  <sheetData>
    <row r="1" spans="1:55"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row>
    <row r="2" spans="1:55"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row>
    <row r="3" spans="1:55"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row>
    <row r="4" spans="1:55"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708"/>
      <c r="AX4" s="2708"/>
      <c r="AY4" s="2708"/>
      <c r="AZ4" s="2708"/>
      <c r="BA4" s="2708"/>
      <c r="BB4" s="2708"/>
      <c r="BC4" s="2708"/>
    </row>
    <row r="5" spans="1:68"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520" t="s">
        <v>2852</v>
      </c>
      <c r="AX5" s="2521"/>
      <c r="AY5" s="2521"/>
      <c r="AZ5" s="2521"/>
      <c r="BA5" s="2521"/>
      <c r="BB5" s="2521"/>
      <c r="BC5" s="2521"/>
      <c r="BD5" s="2521"/>
      <c r="BE5" s="2521"/>
      <c r="BF5" s="2522"/>
      <c r="BG5" s="2575" t="s">
        <v>2856</v>
      </c>
      <c r="BH5" s="2576"/>
      <c r="BI5" s="2576"/>
      <c r="BJ5" s="2576"/>
      <c r="BK5" s="2576"/>
      <c r="BL5" s="2576"/>
      <c r="BM5" s="2576"/>
      <c r="BN5" s="2576"/>
      <c r="BO5" s="2576"/>
      <c r="BP5" s="2577"/>
    </row>
    <row r="6" spans="1:68"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523"/>
      <c r="AX6" s="2524"/>
      <c r="AY6" s="2524"/>
      <c r="AZ6" s="2524"/>
      <c r="BA6" s="2524"/>
      <c r="BB6" s="2524"/>
      <c r="BC6" s="2524"/>
      <c r="BD6" s="2524"/>
      <c r="BE6" s="2524"/>
      <c r="BF6" s="2525"/>
      <c r="BG6" s="2578"/>
      <c r="BH6" s="2579"/>
      <c r="BI6" s="2579"/>
      <c r="BJ6" s="2579"/>
      <c r="BK6" s="2579"/>
      <c r="BL6" s="2579"/>
      <c r="BM6" s="2579"/>
      <c r="BN6" s="2579"/>
      <c r="BO6" s="2579"/>
      <c r="BP6" s="2580"/>
    </row>
    <row r="7" spans="1:68"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2452</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523"/>
      <c r="AX7" s="2524"/>
      <c r="AY7" s="2524"/>
      <c r="AZ7" s="2524"/>
      <c r="BA7" s="2524"/>
      <c r="BB7" s="2524"/>
      <c r="BC7" s="2524"/>
      <c r="BD7" s="2524"/>
      <c r="BE7" s="2524"/>
      <c r="BF7" s="2525"/>
      <c r="BG7" s="2578"/>
      <c r="BH7" s="2579"/>
      <c r="BI7" s="2579"/>
      <c r="BJ7" s="2579"/>
      <c r="BK7" s="2579"/>
      <c r="BL7" s="2579"/>
      <c r="BM7" s="2579"/>
      <c r="BN7" s="2579"/>
      <c r="BO7" s="2579"/>
      <c r="BP7" s="2580"/>
    </row>
    <row r="8" spans="1:68"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523"/>
      <c r="AX8" s="2524"/>
      <c r="AY8" s="2524"/>
      <c r="AZ8" s="2524"/>
      <c r="BA8" s="2524"/>
      <c r="BB8" s="2524"/>
      <c r="BC8" s="2524"/>
      <c r="BD8" s="2524"/>
      <c r="BE8" s="2524"/>
      <c r="BF8" s="2525"/>
      <c r="BG8" s="2578"/>
      <c r="BH8" s="2579"/>
      <c r="BI8" s="2579"/>
      <c r="BJ8" s="2579"/>
      <c r="BK8" s="2579"/>
      <c r="BL8" s="2579"/>
      <c r="BM8" s="2579"/>
      <c r="BN8" s="2579"/>
      <c r="BO8" s="2579"/>
      <c r="BP8" s="2580"/>
    </row>
    <row r="9" spans="1:68"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526"/>
      <c r="AX9" s="2527"/>
      <c r="AY9" s="2527"/>
      <c r="AZ9" s="2527"/>
      <c r="BA9" s="2527"/>
      <c r="BB9" s="2527"/>
      <c r="BC9" s="2527"/>
      <c r="BD9" s="2527"/>
      <c r="BE9" s="2527"/>
      <c r="BF9" s="2528"/>
      <c r="BG9" s="2581"/>
      <c r="BH9" s="2582"/>
      <c r="BI9" s="2582"/>
      <c r="BJ9" s="2582"/>
      <c r="BK9" s="2582"/>
      <c r="BL9" s="2582"/>
      <c r="BM9" s="2582"/>
      <c r="BN9" s="2582"/>
      <c r="BO9" s="2582"/>
      <c r="BP9" s="2583"/>
    </row>
    <row r="10" spans="1:68" ht="9" customHeight="1" thickBot="1">
      <c r="A10" s="3"/>
      <c r="B10" s="4"/>
      <c r="C10" s="3"/>
      <c r="D10" s="3"/>
      <c r="E10" s="3"/>
      <c r="F10" s="237"/>
      <c r="G10" s="3"/>
      <c r="H10" s="3"/>
      <c r="I10" s="238"/>
      <c r="J10" s="3"/>
      <c r="K10" s="239"/>
      <c r="L10" s="239"/>
      <c r="M10" s="3"/>
      <c r="N10" s="3"/>
      <c r="O10" s="3"/>
      <c r="P10" s="3"/>
      <c r="Q10" s="3"/>
      <c r="R10" s="3"/>
      <c r="S10" s="3"/>
      <c r="T10" s="3"/>
      <c r="U10" s="3"/>
      <c r="V10" s="3"/>
      <c r="W10" s="3"/>
      <c r="X10" s="3"/>
      <c r="Y10" s="240"/>
      <c r="Z10" s="273"/>
      <c r="AA10" s="3"/>
      <c r="AB10" s="242"/>
      <c r="AC10" s="1306"/>
      <c r="AD10" s="1505"/>
      <c r="AE10" s="1306"/>
      <c r="AF10" s="1306"/>
      <c r="AG10" s="1339"/>
      <c r="AH10" s="242"/>
      <c r="AI10" s="242"/>
      <c r="AJ10" s="242"/>
      <c r="AK10" s="242"/>
      <c r="AL10" s="242"/>
      <c r="AM10"/>
      <c r="AN10"/>
      <c r="AO10"/>
      <c r="AP10"/>
      <c r="AQ10"/>
      <c r="AR10"/>
      <c r="AS10"/>
      <c r="AT10"/>
      <c r="AU10"/>
      <c r="AV10"/>
      <c r="AW10"/>
      <c r="AX10"/>
      <c r="AY10"/>
      <c r="AZ10"/>
      <c r="BA10"/>
      <c r="BB10"/>
      <c r="BC10"/>
      <c r="BG10"/>
      <c r="BH10"/>
      <c r="BI10"/>
      <c r="BJ10"/>
      <c r="BK10"/>
      <c r="BL10"/>
      <c r="BM10"/>
      <c r="BN10" s="2327"/>
      <c r="BO10" s="2327"/>
      <c r="BP10" s="2327"/>
    </row>
    <row r="11" spans="1:68" s="3" customFormat="1" ht="21" customHeight="1" thickBot="1">
      <c r="A11" s="2641" t="s">
        <v>7</v>
      </c>
      <c r="B11" s="2641"/>
      <c r="C11" s="2641"/>
      <c r="D11" s="2641"/>
      <c r="E11" s="2642" t="s">
        <v>551</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37" t="s">
        <v>551</v>
      </c>
      <c r="AC11" s="2637"/>
      <c r="AD11" s="2637"/>
      <c r="AE11" s="2637"/>
      <c r="AF11" s="2637"/>
      <c r="AG11" s="2637"/>
      <c r="AH11" s="2637"/>
      <c r="AI11" s="2637"/>
      <c r="AJ11" s="2637"/>
      <c r="AK11" s="2637"/>
      <c r="AL11" s="2637"/>
      <c r="AM11" s="2637" t="s">
        <v>552</v>
      </c>
      <c r="AN11" s="2637"/>
      <c r="AO11" s="2637"/>
      <c r="AP11" s="2637"/>
      <c r="AQ11" s="2637"/>
      <c r="AR11" s="2637"/>
      <c r="AS11" s="2637"/>
      <c r="AT11" s="2637"/>
      <c r="AU11" s="2637"/>
      <c r="AV11" s="2637"/>
      <c r="AW11" s="2642" t="s">
        <v>553</v>
      </c>
      <c r="AX11" s="2643"/>
      <c r="AY11" s="2643"/>
      <c r="AZ11" s="2643"/>
      <c r="BA11" s="2643"/>
      <c r="BB11" s="2643"/>
      <c r="BC11" s="2643"/>
      <c r="BD11" s="2643"/>
      <c r="BE11" s="2643"/>
      <c r="BF11" s="2644"/>
      <c r="BG11" s="2642" t="s">
        <v>553</v>
      </c>
      <c r="BH11" s="2643"/>
      <c r="BI11" s="2643"/>
      <c r="BJ11" s="2643"/>
      <c r="BK11" s="2643"/>
      <c r="BL11" s="2643"/>
      <c r="BM11" s="2643"/>
      <c r="BN11" s="2643"/>
      <c r="BO11" s="2643"/>
      <c r="BP11" s="2644"/>
    </row>
    <row r="12" spans="2:38" s="13" customFormat="1" ht="9.95" customHeight="1" thickBot="1">
      <c r="B12" s="14"/>
      <c r="F12" s="243"/>
      <c r="I12" s="244"/>
      <c r="K12" s="245"/>
      <c r="L12" s="245"/>
      <c r="Y12" s="246"/>
      <c r="Z12" s="274"/>
      <c r="AB12" s="248"/>
      <c r="AC12" s="1307"/>
      <c r="AD12" s="1506"/>
      <c r="AE12" s="1307"/>
      <c r="AF12" s="1307"/>
      <c r="AG12" s="1340"/>
      <c r="AH12" s="248"/>
      <c r="AI12" s="248"/>
      <c r="AJ12" s="248"/>
      <c r="AK12" s="248"/>
      <c r="AL12" s="248"/>
    </row>
    <row r="13" spans="1:68" s="4" customFormat="1" ht="21" customHeight="1" thickBot="1">
      <c r="A13" s="2645" t="s">
        <v>9</v>
      </c>
      <c r="B13" s="2646"/>
      <c r="C13" s="2646"/>
      <c r="D13" s="2647"/>
      <c r="E13" s="2648" t="s">
        <v>554</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51" t="s">
        <v>554</v>
      </c>
      <c r="AC13" s="2651"/>
      <c r="AD13" s="2651"/>
      <c r="AE13" s="2651"/>
      <c r="AF13" s="2651"/>
      <c r="AG13" s="2651"/>
      <c r="AH13" s="2651"/>
      <c r="AI13" s="2651"/>
      <c r="AJ13" s="2651"/>
      <c r="AK13" s="2651"/>
      <c r="AL13" s="2651"/>
      <c r="AM13" s="2651" t="s">
        <v>554</v>
      </c>
      <c r="AN13" s="2651"/>
      <c r="AO13" s="2651"/>
      <c r="AP13" s="2651"/>
      <c r="AQ13" s="2651"/>
      <c r="AR13" s="2651"/>
      <c r="AS13" s="2651"/>
      <c r="AT13" s="2651"/>
      <c r="AU13" s="2651"/>
      <c r="AV13" s="2651"/>
      <c r="AW13" s="2648" t="s">
        <v>554</v>
      </c>
      <c r="AX13" s="2649"/>
      <c r="AY13" s="2649"/>
      <c r="AZ13" s="2649"/>
      <c r="BA13" s="2649"/>
      <c r="BB13" s="2649"/>
      <c r="BC13" s="2649"/>
      <c r="BD13" s="2649"/>
      <c r="BE13" s="2649"/>
      <c r="BF13" s="2650"/>
      <c r="BG13" s="2648" t="s">
        <v>554</v>
      </c>
      <c r="BH13" s="2649"/>
      <c r="BI13" s="2649"/>
      <c r="BJ13" s="2649"/>
      <c r="BK13" s="2649"/>
      <c r="BL13" s="2649"/>
      <c r="BM13" s="2649"/>
      <c r="BN13" s="2649"/>
      <c r="BO13" s="2649"/>
      <c r="BP13" s="2650"/>
    </row>
    <row r="14" spans="2:38" s="13" customFormat="1" ht="18.75" customHeight="1" thickBot="1">
      <c r="B14" s="14"/>
      <c r="F14" s="243"/>
      <c r="I14" s="244"/>
      <c r="K14" s="245"/>
      <c r="L14" s="245"/>
      <c r="Y14" s="246"/>
      <c r="Z14" s="274"/>
      <c r="AB14" s="248"/>
      <c r="AC14" s="1307"/>
      <c r="AD14" s="1506"/>
      <c r="AE14" s="1307"/>
      <c r="AF14" s="1307"/>
      <c r="AG14" s="1340"/>
      <c r="AH14" s="248"/>
      <c r="AI14" s="248"/>
      <c r="AJ14" s="248"/>
      <c r="AK14" s="248"/>
      <c r="AL14" s="248"/>
    </row>
    <row r="15" spans="1:68" s="35" customFormat="1" ht="39" thickBot="1">
      <c r="A15" s="22" t="s">
        <v>11</v>
      </c>
      <c r="B15" s="23" t="s">
        <v>12</v>
      </c>
      <c r="C15" s="22" t="s">
        <v>13</v>
      </c>
      <c r="D15" s="249" t="s">
        <v>14</v>
      </c>
      <c r="E15" s="24" t="s">
        <v>15</v>
      </c>
      <c r="F15" s="25" t="s">
        <v>16</v>
      </c>
      <c r="G15" s="26" t="s">
        <v>17</v>
      </c>
      <c r="H15" s="26" t="s">
        <v>18</v>
      </c>
      <c r="I15" s="27" t="s">
        <v>19</v>
      </c>
      <c r="J15" s="26" t="s">
        <v>20</v>
      </c>
      <c r="K15" s="26" t="s">
        <v>21</v>
      </c>
      <c r="L15" s="26" t="s">
        <v>22</v>
      </c>
      <c r="M15" s="28" t="s">
        <v>23</v>
      </c>
      <c r="N15" s="28" t="s">
        <v>24</v>
      </c>
      <c r="O15" s="28" t="s">
        <v>25</v>
      </c>
      <c r="P15" s="28" t="s">
        <v>26</v>
      </c>
      <c r="Q15" s="28" t="s">
        <v>27</v>
      </c>
      <c r="R15" s="28" t="s">
        <v>28</v>
      </c>
      <c r="S15" s="28" t="s">
        <v>29</v>
      </c>
      <c r="T15" s="28" t="s">
        <v>30</v>
      </c>
      <c r="U15" s="28" t="s">
        <v>31</v>
      </c>
      <c r="V15" s="28" t="s">
        <v>32</v>
      </c>
      <c r="W15" s="28" t="s">
        <v>33</v>
      </c>
      <c r="X15" s="28" t="s">
        <v>34</v>
      </c>
      <c r="Y15" s="29" t="s">
        <v>35</v>
      </c>
      <c r="Z15" s="275" t="s">
        <v>36</v>
      </c>
      <c r="AA15" s="31" t="s">
        <v>37</v>
      </c>
      <c r="AB15" s="32" t="s">
        <v>38</v>
      </c>
      <c r="AC15" s="1613" t="s">
        <v>1781</v>
      </c>
      <c r="AD15" s="1508" t="s">
        <v>39</v>
      </c>
      <c r="AE15" s="1614" t="s">
        <v>1821</v>
      </c>
      <c r="AF15" s="1614" t="s">
        <v>1822</v>
      </c>
      <c r="AG15" s="613" t="s">
        <v>1783</v>
      </c>
      <c r="AH15" s="32" t="s">
        <v>40</v>
      </c>
      <c r="AI15" s="32" t="s">
        <v>41</v>
      </c>
      <c r="AJ15" s="32" t="s">
        <v>42</v>
      </c>
      <c r="AK15" s="32" t="s">
        <v>43</v>
      </c>
      <c r="AL15" s="32" t="s">
        <v>44</v>
      </c>
      <c r="AM15" s="33" t="s">
        <v>45</v>
      </c>
      <c r="AN15" s="33" t="s">
        <v>1781</v>
      </c>
      <c r="AO15" s="33" t="s">
        <v>46</v>
      </c>
      <c r="AP15" s="33" t="s">
        <v>2193</v>
      </c>
      <c r="AQ15" s="33" t="s">
        <v>1822</v>
      </c>
      <c r="AR15" s="33" t="s">
        <v>2164</v>
      </c>
      <c r="AS15" s="33" t="s">
        <v>41</v>
      </c>
      <c r="AT15" s="33" t="s">
        <v>42</v>
      </c>
      <c r="AU15" s="33" t="s">
        <v>43</v>
      </c>
      <c r="AV15" s="33" t="s">
        <v>44</v>
      </c>
      <c r="AW15" s="1983" t="s">
        <v>47</v>
      </c>
      <c r="AX15" s="1983" t="s">
        <v>1781</v>
      </c>
      <c r="AY15" s="1983" t="s">
        <v>48</v>
      </c>
      <c r="AZ15" s="1983" t="s">
        <v>2453</v>
      </c>
      <c r="BA15" s="1983" t="s">
        <v>1822</v>
      </c>
      <c r="BB15" s="1983" t="s">
        <v>2698</v>
      </c>
      <c r="BC15" s="1983" t="s">
        <v>41</v>
      </c>
      <c r="BD15" s="1983" t="s">
        <v>42</v>
      </c>
      <c r="BE15" s="1983" t="s">
        <v>43</v>
      </c>
      <c r="BF15" s="1983" t="s">
        <v>44</v>
      </c>
      <c r="BG15" s="2079" t="s">
        <v>49</v>
      </c>
      <c r="BH15" s="2079" t="s">
        <v>1781</v>
      </c>
      <c r="BI15" s="2079" t="s">
        <v>50</v>
      </c>
      <c r="BJ15" s="2079" t="s">
        <v>2946</v>
      </c>
      <c r="BK15" s="2079" t="s">
        <v>1822</v>
      </c>
      <c r="BL15" s="2079" t="s">
        <v>2947</v>
      </c>
      <c r="BM15" s="2079" t="s">
        <v>41</v>
      </c>
      <c r="BN15" s="2079" t="s">
        <v>42</v>
      </c>
      <c r="BO15" s="2079" t="s">
        <v>43</v>
      </c>
      <c r="BP15" s="2479" t="s">
        <v>44</v>
      </c>
    </row>
    <row r="16" spans="1:68" s="49" customFormat="1" ht="75" customHeight="1" thickBot="1">
      <c r="A16" s="2771">
        <v>1</v>
      </c>
      <c r="B16" s="2658" t="s">
        <v>555</v>
      </c>
      <c r="C16" s="2656" t="s">
        <v>556</v>
      </c>
      <c r="D16" s="250" t="s">
        <v>557</v>
      </c>
      <c r="E16" s="65" t="s">
        <v>54</v>
      </c>
      <c r="F16" s="65">
        <v>1</v>
      </c>
      <c r="G16" s="65" t="s">
        <v>558</v>
      </c>
      <c r="H16" s="65" t="s">
        <v>559</v>
      </c>
      <c r="I16" s="66">
        <v>0.04</v>
      </c>
      <c r="J16" s="65" t="s">
        <v>560</v>
      </c>
      <c r="K16" s="67">
        <v>42005</v>
      </c>
      <c r="L16" s="67">
        <v>42078</v>
      </c>
      <c r="M16" s="114"/>
      <c r="N16" s="114"/>
      <c r="O16" s="114">
        <v>1</v>
      </c>
      <c r="P16" s="114"/>
      <c r="Q16" s="114"/>
      <c r="R16" s="115"/>
      <c r="S16" s="115"/>
      <c r="T16" s="114"/>
      <c r="U16" s="115"/>
      <c r="V16" s="115"/>
      <c r="W16" s="115"/>
      <c r="X16" s="115"/>
      <c r="Y16" s="276">
        <f aca="true" t="shared" si="0" ref="Y16:Y20">+SUM(M16:X16)</f>
        <v>1</v>
      </c>
      <c r="Z16" s="277">
        <v>0</v>
      </c>
      <c r="AA16" s="493" t="s">
        <v>1090</v>
      </c>
      <c r="AB16" s="98">
        <f>SUM(M16:N16)</f>
        <v>0</v>
      </c>
      <c r="AC16" s="1311">
        <f>IF(AB16=0,0%,100%)</f>
        <v>0</v>
      </c>
      <c r="AD16" s="1509">
        <v>0</v>
      </c>
      <c r="AE16" s="1311" t="s">
        <v>1090</v>
      </c>
      <c r="AF16" s="1311">
        <f>AD16/Y16</f>
        <v>0</v>
      </c>
      <c r="AG16" s="1371">
        <f>AF16</f>
        <v>0</v>
      </c>
      <c r="AH16" s="99"/>
      <c r="AI16" s="98"/>
      <c r="AJ16" s="99"/>
      <c r="AK16" s="1363" t="s">
        <v>1935</v>
      </c>
      <c r="AL16" s="1326"/>
      <c r="AM16" s="1692">
        <f>SUM(M16:P16)</f>
        <v>1</v>
      </c>
      <c r="AN16" s="1699">
        <f aca="true" t="shared" si="1" ref="AN16:AN33">IF(AM16=0,0%,100%)</f>
        <v>1</v>
      </c>
      <c r="AO16" s="1692">
        <v>0</v>
      </c>
      <c r="AP16" s="1699">
        <f>AO16/AM16</f>
        <v>0</v>
      </c>
      <c r="AQ16" s="1699">
        <f>AO16/Y16</f>
        <v>0</v>
      </c>
      <c r="AR16" s="1699">
        <f aca="true" t="shared" si="2" ref="AR16:AR33">IF(AN16&gt;0,AP16,"-")</f>
        <v>0</v>
      </c>
      <c r="AS16" s="1743">
        <v>0</v>
      </c>
      <c r="AT16" s="1692"/>
      <c r="AU16" s="1692" t="s">
        <v>2255</v>
      </c>
      <c r="AV16" s="1692" t="s">
        <v>2262</v>
      </c>
      <c r="AW16" s="2200">
        <f>SUM(M16:R16)</f>
        <v>1</v>
      </c>
      <c r="AX16" s="2201">
        <f aca="true" t="shared" si="3" ref="AX16:AX33">IF(AW16=0,0%,100%)</f>
        <v>1</v>
      </c>
      <c r="AY16" s="2200">
        <v>1</v>
      </c>
      <c r="AZ16" s="2201">
        <v>1</v>
      </c>
      <c r="BA16" s="2201">
        <v>1</v>
      </c>
      <c r="BB16" s="2201">
        <v>1</v>
      </c>
      <c r="BC16" s="2202">
        <v>0</v>
      </c>
      <c r="BD16" s="2201">
        <v>0</v>
      </c>
      <c r="BE16" s="101" t="s">
        <v>2699</v>
      </c>
      <c r="BF16" s="101"/>
      <c r="BG16" s="2405">
        <f>SUM(M16:T16)</f>
        <v>1</v>
      </c>
      <c r="BH16" s="2406">
        <f aca="true" t="shared" si="4" ref="BH16:BH33">IF(BG16=0,0%,100%)</f>
        <v>1</v>
      </c>
      <c r="BI16" s="2405">
        <v>1</v>
      </c>
      <c r="BJ16" s="2406">
        <v>1</v>
      </c>
      <c r="BK16" s="2406"/>
      <c r="BL16" s="2406">
        <v>1</v>
      </c>
      <c r="BM16" s="2407"/>
      <c r="BN16" s="2406"/>
      <c r="BO16" s="2408" t="s">
        <v>3132</v>
      </c>
      <c r="BP16" s="2408" t="s">
        <v>3133</v>
      </c>
    </row>
    <row r="17" spans="1:68" s="49" customFormat="1" ht="42" customHeight="1" thickBot="1">
      <c r="A17" s="2689"/>
      <c r="B17" s="2655"/>
      <c r="C17" s="2657"/>
      <c r="D17" s="250" t="s">
        <v>561</v>
      </c>
      <c r="E17" s="65" t="s">
        <v>54</v>
      </c>
      <c r="F17" s="65">
        <v>500</v>
      </c>
      <c r="G17" s="65" t="s">
        <v>562</v>
      </c>
      <c r="H17" s="65" t="s">
        <v>559</v>
      </c>
      <c r="I17" s="66">
        <v>0.0556</v>
      </c>
      <c r="J17" s="65" t="s">
        <v>563</v>
      </c>
      <c r="K17" s="117">
        <v>42078</v>
      </c>
      <c r="L17" s="117">
        <v>42124</v>
      </c>
      <c r="M17" s="125"/>
      <c r="N17" s="125"/>
      <c r="O17" s="125"/>
      <c r="P17" s="125">
        <v>500</v>
      </c>
      <c r="Q17" s="125"/>
      <c r="R17" s="126"/>
      <c r="S17" s="126"/>
      <c r="T17" s="125"/>
      <c r="U17" s="126"/>
      <c r="V17" s="126"/>
      <c r="W17" s="126"/>
      <c r="X17" s="126"/>
      <c r="Y17" s="276">
        <f t="shared" si="0"/>
        <v>500</v>
      </c>
      <c r="Z17" s="279">
        <v>10000000</v>
      </c>
      <c r="AA17" s="493" t="s">
        <v>1090</v>
      </c>
      <c r="AB17" s="98">
        <f aca="true" t="shared" si="5" ref="AB17:AB33">SUM(M17:N17)</f>
        <v>0</v>
      </c>
      <c r="AC17" s="1311">
        <f aca="true" t="shared" si="6" ref="AC17:AC33">IF(AB17=0,0%,100%)</f>
        <v>0</v>
      </c>
      <c r="AD17" s="1509">
        <v>0</v>
      </c>
      <c r="AE17" s="1311" t="s">
        <v>1090</v>
      </c>
      <c r="AF17" s="1311">
        <f aca="true" t="shared" si="7" ref="AF17:AF33">AD17/Y17</f>
        <v>0</v>
      </c>
      <c r="AG17" s="1371">
        <f aca="true" t="shared" si="8" ref="AG17:AG33">AF17</f>
        <v>0</v>
      </c>
      <c r="AH17" s="99"/>
      <c r="AI17" s="98"/>
      <c r="AJ17" s="99"/>
      <c r="AK17" s="1326"/>
      <c r="AL17" s="1326"/>
      <c r="AM17" s="1692">
        <f aca="true" t="shared" si="9" ref="AM17:AM33">SUM(M17:P17)</f>
        <v>500</v>
      </c>
      <c r="AN17" s="1699">
        <f t="shared" si="1"/>
        <v>1</v>
      </c>
      <c r="AO17" s="1692">
        <v>0</v>
      </c>
      <c r="AP17" s="1699">
        <f aca="true" t="shared" si="10" ref="AP17:AP33">AO17/AM17</f>
        <v>0</v>
      </c>
      <c r="AQ17" s="1699">
        <f aca="true" t="shared" si="11" ref="AQ17:AQ33">AO17/Y17</f>
        <v>0</v>
      </c>
      <c r="AR17" s="1699">
        <f t="shared" si="2"/>
        <v>0</v>
      </c>
      <c r="AS17" s="1743">
        <v>0</v>
      </c>
      <c r="AT17" s="1692"/>
      <c r="AU17" s="1692"/>
      <c r="AV17" s="1692" t="s">
        <v>2263</v>
      </c>
      <c r="AW17" s="2200">
        <f aca="true" t="shared" si="12" ref="AW17:AW33">SUM(M17:R17)</f>
        <v>500</v>
      </c>
      <c r="AX17" s="2201">
        <f t="shared" si="3"/>
        <v>1</v>
      </c>
      <c r="AY17" s="2200">
        <v>0</v>
      </c>
      <c r="AZ17" s="2201">
        <v>0</v>
      </c>
      <c r="BA17" s="2201">
        <v>0</v>
      </c>
      <c r="BB17" s="2201">
        <v>0</v>
      </c>
      <c r="BC17" s="2202">
        <v>0</v>
      </c>
      <c r="BD17" s="2201">
        <v>0</v>
      </c>
      <c r="BE17" s="101"/>
      <c r="BF17" s="101" t="s">
        <v>2263</v>
      </c>
      <c r="BG17" s="2405">
        <f aca="true" t="shared" si="13" ref="BG17:BG33">SUM(M17:T17)</f>
        <v>500</v>
      </c>
      <c r="BH17" s="2406">
        <f t="shared" si="4"/>
        <v>1</v>
      </c>
      <c r="BI17" s="2405">
        <v>0</v>
      </c>
      <c r="BJ17" s="2406">
        <v>0</v>
      </c>
      <c r="BK17" s="2406"/>
      <c r="BL17" s="2406">
        <v>0</v>
      </c>
      <c r="BM17" s="2407"/>
      <c r="BN17" s="2406"/>
      <c r="BO17" s="2408" t="s">
        <v>3134</v>
      </c>
      <c r="BP17" s="2408" t="s">
        <v>3135</v>
      </c>
    </row>
    <row r="18" spans="1:68" s="49" customFormat="1" ht="50.25" thickBot="1">
      <c r="A18" s="2689"/>
      <c r="B18" s="2655"/>
      <c r="C18" s="2772"/>
      <c r="D18" s="250" t="s">
        <v>564</v>
      </c>
      <c r="E18" s="65" t="s">
        <v>54</v>
      </c>
      <c r="F18" s="65">
        <v>1</v>
      </c>
      <c r="G18" s="65" t="s">
        <v>565</v>
      </c>
      <c r="H18" s="65" t="s">
        <v>559</v>
      </c>
      <c r="I18" s="66">
        <v>0.04</v>
      </c>
      <c r="J18" s="65" t="s">
        <v>566</v>
      </c>
      <c r="K18" s="67">
        <v>42124</v>
      </c>
      <c r="L18" s="67">
        <v>42153</v>
      </c>
      <c r="M18" s="280"/>
      <c r="N18" s="280"/>
      <c r="O18" s="280"/>
      <c r="P18" s="280"/>
      <c r="Q18" s="280">
        <v>1</v>
      </c>
      <c r="R18" s="280"/>
      <c r="S18" s="280"/>
      <c r="T18" s="281"/>
      <c r="U18" s="282"/>
      <c r="V18" s="115"/>
      <c r="W18" s="115"/>
      <c r="X18" s="115"/>
      <c r="Y18" s="276">
        <f t="shared" si="0"/>
        <v>1</v>
      </c>
      <c r="Z18" s="277">
        <v>2000000</v>
      </c>
      <c r="AA18" s="493" t="s">
        <v>1090</v>
      </c>
      <c r="AB18" s="98">
        <f t="shared" si="5"/>
        <v>0</v>
      </c>
      <c r="AC18" s="1311">
        <f t="shared" si="6"/>
        <v>0</v>
      </c>
      <c r="AD18" s="1509">
        <v>0</v>
      </c>
      <c r="AE18" s="1311" t="s">
        <v>1090</v>
      </c>
      <c r="AF18" s="1311">
        <f t="shared" si="7"/>
        <v>0</v>
      </c>
      <c r="AG18" s="1371">
        <f t="shared" si="8"/>
        <v>0</v>
      </c>
      <c r="AH18" s="99"/>
      <c r="AI18" s="98"/>
      <c r="AJ18" s="99"/>
      <c r="AK18" s="1326"/>
      <c r="AL18" s="1363" t="s">
        <v>1936</v>
      </c>
      <c r="AM18" s="1692">
        <f t="shared" si="9"/>
        <v>0</v>
      </c>
      <c r="AN18" s="1699">
        <f t="shared" si="1"/>
        <v>0</v>
      </c>
      <c r="AO18" s="1692">
        <v>0</v>
      </c>
      <c r="AP18" s="1699" t="s">
        <v>1090</v>
      </c>
      <c r="AQ18" s="1699">
        <f t="shared" si="11"/>
        <v>0</v>
      </c>
      <c r="AR18" s="1699">
        <v>0</v>
      </c>
      <c r="AS18" s="1743">
        <v>0</v>
      </c>
      <c r="AT18" s="1692"/>
      <c r="AU18" s="1692"/>
      <c r="AV18" s="1692" t="s">
        <v>2264</v>
      </c>
      <c r="AW18" s="2200">
        <f t="shared" si="12"/>
        <v>1</v>
      </c>
      <c r="AX18" s="2201">
        <f t="shared" si="3"/>
        <v>1</v>
      </c>
      <c r="AY18" s="2200">
        <v>0</v>
      </c>
      <c r="AZ18" s="2201">
        <v>0</v>
      </c>
      <c r="BA18" s="2201">
        <v>0</v>
      </c>
      <c r="BB18" s="2201">
        <v>0</v>
      </c>
      <c r="BC18" s="2202">
        <v>0</v>
      </c>
      <c r="BD18" s="2201">
        <v>0</v>
      </c>
      <c r="BE18" s="101"/>
      <c r="BF18" s="101" t="s">
        <v>2264</v>
      </c>
      <c r="BG18" s="2405">
        <f t="shared" si="13"/>
        <v>1</v>
      </c>
      <c r="BH18" s="2406">
        <f t="shared" si="4"/>
        <v>1</v>
      </c>
      <c r="BI18" s="2405" t="s">
        <v>1090</v>
      </c>
      <c r="BJ18" s="2406" t="s">
        <v>1090</v>
      </c>
      <c r="BK18" s="2406"/>
      <c r="BL18" s="2406" t="s">
        <v>1090</v>
      </c>
      <c r="BM18" s="2407"/>
      <c r="BN18" s="2406"/>
      <c r="BO18" s="2408"/>
      <c r="BP18" s="2408" t="s">
        <v>3136</v>
      </c>
    </row>
    <row r="19" spans="1:68" s="49" customFormat="1" ht="71.25" customHeight="1" thickBot="1">
      <c r="A19" s="2689"/>
      <c r="B19" s="2655"/>
      <c r="C19" s="2773" t="s">
        <v>567</v>
      </c>
      <c r="D19" s="263" t="s">
        <v>568</v>
      </c>
      <c r="E19" s="283" t="s">
        <v>54</v>
      </c>
      <c r="F19" s="283">
        <v>3</v>
      </c>
      <c r="G19" s="283" t="s">
        <v>569</v>
      </c>
      <c r="H19" s="283" t="s">
        <v>570</v>
      </c>
      <c r="I19" s="66">
        <v>0.065</v>
      </c>
      <c r="J19" s="283" t="s">
        <v>571</v>
      </c>
      <c r="K19" s="252">
        <v>42005</v>
      </c>
      <c r="L19" s="252">
        <v>42369</v>
      </c>
      <c r="M19" s="284"/>
      <c r="N19" s="284"/>
      <c r="O19" s="284">
        <v>1</v>
      </c>
      <c r="P19" s="284"/>
      <c r="Q19" s="284"/>
      <c r="R19" s="284">
        <v>1</v>
      </c>
      <c r="S19" s="284"/>
      <c r="T19" s="285"/>
      <c r="U19" s="286">
        <v>1</v>
      </c>
      <c r="V19" s="287"/>
      <c r="W19" s="287"/>
      <c r="X19" s="287"/>
      <c r="Y19" s="276">
        <f t="shared" si="0"/>
        <v>3</v>
      </c>
      <c r="Z19" s="279">
        <v>0</v>
      </c>
      <c r="AA19" s="493" t="s">
        <v>1090</v>
      </c>
      <c r="AB19" s="98">
        <f t="shared" si="5"/>
        <v>0</v>
      </c>
      <c r="AC19" s="1311">
        <f t="shared" si="6"/>
        <v>0</v>
      </c>
      <c r="AD19" s="1543">
        <v>0</v>
      </c>
      <c r="AE19" s="1311" t="s">
        <v>1090</v>
      </c>
      <c r="AF19" s="1311">
        <f t="shared" si="7"/>
        <v>0</v>
      </c>
      <c r="AG19" s="1371">
        <f t="shared" si="8"/>
        <v>0</v>
      </c>
      <c r="AH19" s="289"/>
      <c r="AI19" s="288"/>
      <c r="AJ19" s="289"/>
      <c r="AK19" s="1364" t="s">
        <v>1937</v>
      </c>
      <c r="AL19" s="288"/>
      <c r="AM19" s="1692">
        <f t="shared" si="9"/>
        <v>1</v>
      </c>
      <c r="AN19" s="1699">
        <f t="shared" si="1"/>
        <v>1</v>
      </c>
      <c r="AO19" s="1737">
        <v>0</v>
      </c>
      <c r="AP19" s="1699">
        <f t="shared" si="10"/>
        <v>0</v>
      </c>
      <c r="AQ19" s="1699">
        <f t="shared" si="11"/>
        <v>0</v>
      </c>
      <c r="AR19" s="1699">
        <f t="shared" si="2"/>
        <v>0</v>
      </c>
      <c r="AS19" s="1751">
        <v>0</v>
      </c>
      <c r="AT19" s="1737"/>
      <c r="AU19" s="1737"/>
      <c r="AV19" s="1737"/>
      <c r="AW19" s="2200">
        <f t="shared" si="12"/>
        <v>2</v>
      </c>
      <c r="AX19" s="2201">
        <f t="shared" si="3"/>
        <v>1</v>
      </c>
      <c r="AY19" s="2200">
        <v>1</v>
      </c>
      <c r="AZ19" s="2201">
        <v>0.5</v>
      </c>
      <c r="BA19" s="2201">
        <v>0.3333333333333333</v>
      </c>
      <c r="BB19" s="2201">
        <f>AY19/Y19</f>
        <v>0.3333333333333333</v>
      </c>
      <c r="BC19" s="2202">
        <v>0</v>
      </c>
      <c r="BD19" s="2201">
        <v>0</v>
      </c>
      <c r="BE19" s="101" t="s">
        <v>2700</v>
      </c>
      <c r="BF19" s="101" t="s">
        <v>2701</v>
      </c>
      <c r="BG19" s="2405">
        <f t="shared" si="13"/>
        <v>2</v>
      </c>
      <c r="BH19" s="2406">
        <f t="shared" si="4"/>
        <v>1</v>
      </c>
      <c r="BI19" s="2405">
        <v>1</v>
      </c>
      <c r="BJ19" s="2406">
        <f>BI19/BG19</f>
        <v>0.5</v>
      </c>
      <c r="BK19" s="2406"/>
      <c r="BL19" s="2406">
        <f>BI19/Y19</f>
        <v>0.3333333333333333</v>
      </c>
      <c r="BM19" s="2407"/>
      <c r="BN19" s="2406"/>
      <c r="BO19" s="2408"/>
      <c r="BP19" s="2408" t="s">
        <v>3137</v>
      </c>
    </row>
    <row r="20" spans="1:68" s="49" customFormat="1" ht="64.5" thickBot="1">
      <c r="A20" s="2689"/>
      <c r="B20" s="2655"/>
      <c r="C20" s="2657"/>
      <c r="D20" s="250" t="s">
        <v>572</v>
      </c>
      <c r="E20" s="154" t="s">
        <v>54</v>
      </c>
      <c r="F20" s="65">
        <v>2</v>
      </c>
      <c r="G20" s="65" t="s">
        <v>573</v>
      </c>
      <c r="H20" s="65" t="s">
        <v>574</v>
      </c>
      <c r="I20" s="66">
        <v>0.065</v>
      </c>
      <c r="J20" s="65" t="s">
        <v>571</v>
      </c>
      <c r="K20" s="67">
        <v>42005</v>
      </c>
      <c r="L20" s="67">
        <v>42369</v>
      </c>
      <c r="M20" s="280"/>
      <c r="N20" s="280"/>
      <c r="O20" s="280">
        <v>1</v>
      </c>
      <c r="P20" s="280"/>
      <c r="Q20" s="280"/>
      <c r="R20" s="280"/>
      <c r="S20" s="280"/>
      <c r="T20" s="281"/>
      <c r="U20" s="282">
        <v>1</v>
      </c>
      <c r="V20" s="115"/>
      <c r="W20" s="115"/>
      <c r="X20" s="115"/>
      <c r="Y20" s="276">
        <f t="shared" si="0"/>
        <v>2</v>
      </c>
      <c r="Z20" s="279">
        <v>0</v>
      </c>
      <c r="AA20" s="493" t="s">
        <v>1090</v>
      </c>
      <c r="AB20" s="98">
        <f t="shared" si="5"/>
        <v>0</v>
      </c>
      <c r="AC20" s="1311">
        <f t="shared" si="6"/>
        <v>0</v>
      </c>
      <c r="AD20" s="1509">
        <v>0</v>
      </c>
      <c r="AE20" s="1311" t="s">
        <v>1090</v>
      </c>
      <c r="AF20" s="1311">
        <f t="shared" si="7"/>
        <v>0</v>
      </c>
      <c r="AG20" s="1371">
        <f t="shared" si="8"/>
        <v>0</v>
      </c>
      <c r="AH20" s="99"/>
      <c r="AI20" s="98"/>
      <c r="AJ20" s="99"/>
      <c r="AK20" s="1363" t="s">
        <v>1938</v>
      </c>
      <c r="AL20" s="1326"/>
      <c r="AM20" s="1692">
        <f t="shared" si="9"/>
        <v>1</v>
      </c>
      <c r="AN20" s="1699">
        <f t="shared" si="1"/>
        <v>1</v>
      </c>
      <c r="AO20" s="1692">
        <v>0</v>
      </c>
      <c r="AP20" s="1699">
        <f t="shared" si="10"/>
        <v>0</v>
      </c>
      <c r="AQ20" s="1699">
        <f t="shared" si="11"/>
        <v>0</v>
      </c>
      <c r="AR20" s="1699">
        <f t="shared" si="2"/>
        <v>0</v>
      </c>
      <c r="AS20" s="1743">
        <v>0</v>
      </c>
      <c r="AT20" s="1692"/>
      <c r="AU20" s="1692"/>
      <c r="AV20" s="1692"/>
      <c r="AW20" s="2200">
        <f t="shared" si="12"/>
        <v>1</v>
      </c>
      <c r="AX20" s="2201">
        <f t="shared" si="3"/>
        <v>1</v>
      </c>
      <c r="AY20" s="2200">
        <v>1</v>
      </c>
      <c r="AZ20" s="2201">
        <v>1</v>
      </c>
      <c r="BA20" s="2201">
        <v>0.5</v>
      </c>
      <c r="BB20" s="2201">
        <v>0.5</v>
      </c>
      <c r="BC20" s="2202">
        <v>0</v>
      </c>
      <c r="BD20" s="2201">
        <v>0</v>
      </c>
      <c r="BE20" s="101" t="s">
        <v>2702</v>
      </c>
      <c r="BF20" s="101"/>
      <c r="BG20" s="2405">
        <f t="shared" si="13"/>
        <v>1</v>
      </c>
      <c r="BH20" s="2406">
        <f t="shared" si="4"/>
        <v>1</v>
      </c>
      <c r="BI20" s="2405">
        <v>1</v>
      </c>
      <c r="BJ20" s="2406">
        <v>1</v>
      </c>
      <c r="BK20" s="2406"/>
      <c r="BL20" s="2406">
        <v>0.5</v>
      </c>
      <c r="BM20" s="2407"/>
      <c r="BN20" s="2406"/>
      <c r="BO20" s="2408" t="s">
        <v>3138</v>
      </c>
      <c r="BP20" s="2408"/>
    </row>
    <row r="21" spans="1:68" s="49" customFormat="1" ht="87" customHeight="1" thickBot="1">
      <c r="A21" s="2689"/>
      <c r="B21" s="2655"/>
      <c r="C21" s="2657"/>
      <c r="D21" s="250" t="s">
        <v>575</v>
      </c>
      <c r="E21" s="283" t="s">
        <v>62</v>
      </c>
      <c r="F21" s="283">
        <v>100</v>
      </c>
      <c r="G21" s="283" t="s">
        <v>576</v>
      </c>
      <c r="H21" s="283" t="s">
        <v>577</v>
      </c>
      <c r="I21" s="66">
        <v>0.0556</v>
      </c>
      <c r="J21" s="283" t="s">
        <v>578</v>
      </c>
      <c r="K21" s="252">
        <v>42005</v>
      </c>
      <c r="L21" s="252">
        <v>42338</v>
      </c>
      <c r="M21" s="284"/>
      <c r="N21" s="284"/>
      <c r="O21" s="284"/>
      <c r="P21" s="284">
        <v>100</v>
      </c>
      <c r="Q21" s="284"/>
      <c r="R21" s="284"/>
      <c r="S21" s="284"/>
      <c r="T21" s="285">
        <v>100</v>
      </c>
      <c r="U21" s="286"/>
      <c r="V21" s="287"/>
      <c r="W21" s="287">
        <v>100</v>
      </c>
      <c r="X21" s="287"/>
      <c r="Y21" s="276">
        <f aca="true" t="shared" si="14" ref="Y21:Y33">+SUM(M21:X21)</f>
        <v>300</v>
      </c>
      <c r="Z21" s="279">
        <v>0</v>
      </c>
      <c r="AA21" s="493" t="s">
        <v>1090</v>
      </c>
      <c r="AB21" s="98">
        <f t="shared" si="5"/>
        <v>0</v>
      </c>
      <c r="AC21" s="1311">
        <f t="shared" si="6"/>
        <v>0</v>
      </c>
      <c r="AD21" s="1544">
        <v>0</v>
      </c>
      <c r="AE21" s="1311" t="s">
        <v>1090</v>
      </c>
      <c r="AF21" s="1311">
        <f t="shared" si="7"/>
        <v>0</v>
      </c>
      <c r="AG21" s="1371">
        <f t="shared" si="8"/>
        <v>0</v>
      </c>
      <c r="AH21" s="292"/>
      <c r="AI21" s="291"/>
      <c r="AJ21" s="292"/>
      <c r="AK21" s="1365" t="s">
        <v>1939</v>
      </c>
      <c r="AL21" s="291"/>
      <c r="AM21" s="1692">
        <f t="shared" si="9"/>
        <v>100</v>
      </c>
      <c r="AN21" s="1699">
        <f t="shared" si="1"/>
        <v>1</v>
      </c>
      <c r="AO21" s="1738">
        <v>0</v>
      </c>
      <c r="AP21" s="1699">
        <f t="shared" si="10"/>
        <v>0</v>
      </c>
      <c r="AQ21" s="1699">
        <f t="shared" si="11"/>
        <v>0</v>
      </c>
      <c r="AR21" s="1699">
        <f t="shared" si="2"/>
        <v>0</v>
      </c>
      <c r="AS21" s="1752">
        <v>0</v>
      </c>
      <c r="AT21" s="1738"/>
      <c r="AU21" s="1738" t="s">
        <v>1939</v>
      </c>
      <c r="AV21" s="1738"/>
      <c r="AW21" s="2200">
        <f t="shared" si="12"/>
        <v>100</v>
      </c>
      <c r="AX21" s="2201">
        <f t="shared" si="3"/>
        <v>1</v>
      </c>
      <c r="AY21" s="2200">
        <v>0</v>
      </c>
      <c r="AZ21" s="2201">
        <v>0</v>
      </c>
      <c r="BA21" s="2201">
        <v>0</v>
      </c>
      <c r="BB21" s="2201">
        <v>0</v>
      </c>
      <c r="BC21" s="2202">
        <v>0</v>
      </c>
      <c r="BD21" s="2201">
        <v>0</v>
      </c>
      <c r="BE21" s="101" t="s">
        <v>2703</v>
      </c>
      <c r="BF21" s="101"/>
      <c r="BG21" s="2405">
        <f t="shared" si="13"/>
        <v>200</v>
      </c>
      <c r="BH21" s="2406">
        <f t="shared" si="4"/>
        <v>1</v>
      </c>
      <c r="BI21" s="2405">
        <v>0</v>
      </c>
      <c r="BJ21" s="2406">
        <v>0</v>
      </c>
      <c r="BK21" s="2406"/>
      <c r="BL21" s="2406">
        <v>0</v>
      </c>
      <c r="BM21" s="2407"/>
      <c r="BN21" s="2406"/>
      <c r="BO21" s="2408"/>
      <c r="BP21" s="2408"/>
    </row>
    <row r="22" spans="1:68" s="49" customFormat="1" ht="159" customHeight="1" thickBot="1">
      <c r="A22" s="2689"/>
      <c r="B22" s="2655"/>
      <c r="C22" s="2657"/>
      <c r="D22" s="250" t="s">
        <v>579</v>
      </c>
      <c r="E22" s="154" t="s">
        <v>54</v>
      </c>
      <c r="F22" s="65">
        <v>20</v>
      </c>
      <c r="G22" s="65" t="s">
        <v>580</v>
      </c>
      <c r="H22" s="65" t="s">
        <v>581</v>
      </c>
      <c r="I22" s="66">
        <v>0.06</v>
      </c>
      <c r="J22" s="65" t="s">
        <v>582</v>
      </c>
      <c r="K22" s="67">
        <v>42005</v>
      </c>
      <c r="L22" s="67">
        <v>42369</v>
      </c>
      <c r="M22" s="280"/>
      <c r="N22" s="280"/>
      <c r="O22" s="280">
        <v>5</v>
      </c>
      <c r="P22" s="280"/>
      <c r="Q22" s="280">
        <v>5</v>
      </c>
      <c r="R22" s="280"/>
      <c r="S22" s="280">
        <v>5</v>
      </c>
      <c r="T22" s="281"/>
      <c r="U22" s="282"/>
      <c r="V22" s="115"/>
      <c r="W22" s="115"/>
      <c r="X22" s="115"/>
      <c r="Y22" s="276">
        <f t="shared" si="14"/>
        <v>15</v>
      </c>
      <c r="Z22" s="279">
        <v>0</v>
      </c>
      <c r="AA22" s="493" t="s">
        <v>1090</v>
      </c>
      <c r="AB22" s="98">
        <f t="shared" si="5"/>
        <v>0</v>
      </c>
      <c r="AC22" s="1311">
        <f t="shared" si="6"/>
        <v>0</v>
      </c>
      <c r="AD22" s="1509">
        <v>0</v>
      </c>
      <c r="AE22" s="1311" t="s">
        <v>1090</v>
      </c>
      <c r="AF22" s="1311">
        <f t="shared" si="7"/>
        <v>0</v>
      </c>
      <c r="AG22" s="1371">
        <f t="shared" si="8"/>
        <v>0</v>
      </c>
      <c r="AH22" s="99"/>
      <c r="AI22" s="98"/>
      <c r="AJ22" s="99"/>
      <c r="AK22" s="1363" t="s">
        <v>1940</v>
      </c>
      <c r="AL22" s="1326"/>
      <c r="AM22" s="1692">
        <f t="shared" si="9"/>
        <v>5</v>
      </c>
      <c r="AN22" s="1699">
        <f t="shared" si="1"/>
        <v>1</v>
      </c>
      <c r="AO22" s="1692">
        <v>41</v>
      </c>
      <c r="AP22" s="1699">
        <v>1</v>
      </c>
      <c r="AQ22" s="1699">
        <v>1</v>
      </c>
      <c r="AR22" s="1699">
        <f t="shared" si="2"/>
        <v>1</v>
      </c>
      <c r="AS22" s="1743">
        <v>0</v>
      </c>
      <c r="AT22" s="1692"/>
      <c r="AU22" s="1692" t="s">
        <v>2256</v>
      </c>
      <c r="AV22" s="1692"/>
      <c r="AW22" s="2200">
        <f t="shared" si="12"/>
        <v>10</v>
      </c>
      <c r="AX22" s="2201">
        <f t="shared" si="3"/>
        <v>1</v>
      </c>
      <c r="AY22" s="2200">
        <v>48</v>
      </c>
      <c r="AZ22" s="2201">
        <v>1</v>
      </c>
      <c r="BA22" s="2201">
        <v>1</v>
      </c>
      <c r="BB22" s="2201">
        <v>1</v>
      </c>
      <c r="BC22" s="2202">
        <v>0</v>
      </c>
      <c r="BD22" s="2201">
        <v>0</v>
      </c>
      <c r="BE22" s="101" t="s">
        <v>2710</v>
      </c>
      <c r="BF22" s="101"/>
      <c r="BG22" s="2405">
        <f t="shared" si="13"/>
        <v>15</v>
      </c>
      <c r="BH22" s="2406">
        <f t="shared" si="4"/>
        <v>1</v>
      </c>
      <c r="BI22" s="2405">
        <v>53</v>
      </c>
      <c r="BJ22" s="2406">
        <v>1</v>
      </c>
      <c r="BK22" s="2406"/>
      <c r="BL22" s="2406">
        <v>1</v>
      </c>
      <c r="BM22" s="2407"/>
      <c r="BN22" s="2406"/>
      <c r="BO22" s="2408" t="s">
        <v>3139</v>
      </c>
      <c r="BP22" s="2408"/>
    </row>
    <row r="23" spans="1:68" s="49" customFormat="1" ht="94.5" customHeight="1" thickBot="1">
      <c r="A23" s="2689"/>
      <c r="B23" s="2655"/>
      <c r="C23" s="2657"/>
      <c r="D23" s="250" t="s">
        <v>583</v>
      </c>
      <c r="E23" s="283" t="s">
        <v>54</v>
      </c>
      <c r="F23" s="283">
        <v>3</v>
      </c>
      <c r="G23" s="283" t="s">
        <v>584</v>
      </c>
      <c r="H23" s="283" t="s">
        <v>585</v>
      </c>
      <c r="I23" s="66">
        <v>0.065</v>
      </c>
      <c r="J23" s="283" t="s">
        <v>586</v>
      </c>
      <c r="K23" s="252">
        <v>42005</v>
      </c>
      <c r="L23" s="252">
        <v>42369</v>
      </c>
      <c r="M23" s="284"/>
      <c r="N23" s="284"/>
      <c r="O23" s="284"/>
      <c r="P23" s="284">
        <v>1</v>
      </c>
      <c r="Q23" s="284"/>
      <c r="R23" s="284"/>
      <c r="S23" s="284"/>
      <c r="T23" s="285">
        <v>1</v>
      </c>
      <c r="U23" s="286"/>
      <c r="V23" s="287"/>
      <c r="W23" s="287"/>
      <c r="X23" s="287">
        <v>1</v>
      </c>
      <c r="Y23" s="276">
        <f t="shared" si="14"/>
        <v>3</v>
      </c>
      <c r="Z23" s="279">
        <v>0</v>
      </c>
      <c r="AA23" s="493" t="s">
        <v>1090</v>
      </c>
      <c r="AB23" s="98">
        <f t="shared" si="5"/>
        <v>0</v>
      </c>
      <c r="AC23" s="1311">
        <f t="shared" si="6"/>
        <v>0</v>
      </c>
      <c r="AD23" s="1509">
        <v>0</v>
      </c>
      <c r="AE23" s="1311" t="s">
        <v>1090</v>
      </c>
      <c r="AF23" s="1311">
        <f t="shared" si="7"/>
        <v>0</v>
      </c>
      <c r="AG23" s="1371">
        <f t="shared" si="8"/>
        <v>0</v>
      </c>
      <c r="AH23" s="99"/>
      <c r="AI23" s="98"/>
      <c r="AJ23" s="99"/>
      <c r="AK23" s="1363" t="s">
        <v>1941</v>
      </c>
      <c r="AL23" s="1326"/>
      <c r="AM23" s="1692">
        <f t="shared" si="9"/>
        <v>1</v>
      </c>
      <c r="AN23" s="1699">
        <f t="shared" si="1"/>
        <v>1</v>
      </c>
      <c r="AO23" s="1692">
        <v>5</v>
      </c>
      <c r="AP23" s="1699">
        <v>1</v>
      </c>
      <c r="AQ23" s="1699">
        <v>1</v>
      </c>
      <c r="AR23" s="1699">
        <f t="shared" si="2"/>
        <v>1</v>
      </c>
      <c r="AS23" s="1743">
        <v>0</v>
      </c>
      <c r="AT23" s="1692"/>
      <c r="AU23" s="1692" t="s">
        <v>2257</v>
      </c>
      <c r="AV23" s="1692"/>
      <c r="AW23" s="2200">
        <f t="shared" si="12"/>
        <v>1</v>
      </c>
      <c r="AX23" s="2201">
        <f t="shared" si="3"/>
        <v>1</v>
      </c>
      <c r="AY23" s="2200">
        <v>6</v>
      </c>
      <c r="AZ23" s="2201">
        <v>1</v>
      </c>
      <c r="BA23" s="2201">
        <v>1</v>
      </c>
      <c r="BB23" s="2201">
        <v>1</v>
      </c>
      <c r="BC23" s="2202">
        <v>0</v>
      </c>
      <c r="BD23" s="2201">
        <v>0</v>
      </c>
      <c r="BE23" s="101" t="s">
        <v>2704</v>
      </c>
      <c r="BF23" s="101"/>
      <c r="BG23" s="2405">
        <f t="shared" si="13"/>
        <v>2</v>
      </c>
      <c r="BH23" s="2406">
        <f t="shared" si="4"/>
        <v>1</v>
      </c>
      <c r="BI23" s="2405">
        <v>7</v>
      </c>
      <c r="BJ23" s="2406">
        <v>1</v>
      </c>
      <c r="BK23" s="2406"/>
      <c r="BL23" s="2406">
        <v>1</v>
      </c>
      <c r="BM23" s="2407"/>
      <c r="BN23" s="2406"/>
      <c r="BO23" s="2408" t="s">
        <v>3140</v>
      </c>
      <c r="BP23" s="2408"/>
    </row>
    <row r="24" spans="1:68" s="49" customFormat="1" ht="57.75" customHeight="1" thickBot="1">
      <c r="A24" s="2689"/>
      <c r="B24" s="2655"/>
      <c r="C24" s="2657"/>
      <c r="D24" s="250" t="s">
        <v>587</v>
      </c>
      <c r="E24" s="154" t="s">
        <v>54</v>
      </c>
      <c r="F24" s="65">
        <v>10</v>
      </c>
      <c r="G24" s="65" t="s">
        <v>588</v>
      </c>
      <c r="H24" s="65" t="s">
        <v>589</v>
      </c>
      <c r="I24" s="66">
        <v>0.0556</v>
      </c>
      <c r="J24" s="65" t="s">
        <v>590</v>
      </c>
      <c r="K24" s="67">
        <v>42005</v>
      </c>
      <c r="L24" s="67">
        <v>42369</v>
      </c>
      <c r="M24" s="280"/>
      <c r="N24" s="280"/>
      <c r="O24" s="280">
        <v>2</v>
      </c>
      <c r="P24" s="280"/>
      <c r="Q24" s="280"/>
      <c r="R24" s="280">
        <v>3</v>
      </c>
      <c r="S24" s="280"/>
      <c r="T24" s="281"/>
      <c r="U24" s="282">
        <v>2</v>
      </c>
      <c r="V24" s="115"/>
      <c r="W24" s="115"/>
      <c r="X24" s="115">
        <v>3</v>
      </c>
      <c r="Y24" s="276">
        <f t="shared" si="14"/>
        <v>10</v>
      </c>
      <c r="Z24" s="279">
        <v>0</v>
      </c>
      <c r="AA24" s="493" t="s">
        <v>1090</v>
      </c>
      <c r="AB24" s="98">
        <f t="shared" si="5"/>
        <v>0</v>
      </c>
      <c r="AC24" s="1311">
        <f t="shared" si="6"/>
        <v>0</v>
      </c>
      <c r="AD24" s="1509">
        <v>0</v>
      </c>
      <c r="AE24" s="1311" t="s">
        <v>1090</v>
      </c>
      <c r="AF24" s="1311">
        <f t="shared" si="7"/>
        <v>0</v>
      </c>
      <c r="AG24" s="1371">
        <f t="shared" si="8"/>
        <v>0</v>
      </c>
      <c r="AH24" s="99"/>
      <c r="AI24" s="98"/>
      <c r="AJ24" s="99"/>
      <c r="AK24" s="1363" t="s">
        <v>1942</v>
      </c>
      <c r="AL24" s="1326"/>
      <c r="AM24" s="1692">
        <f t="shared" si="9"/>
        <v>2</v>
      </c>
      <c r="AN24" s="1699">
        <f t="shared" si="1"/>
        <v>1</v>
      </c>
      <c r="AO24" s="1692">
        <v>0</v>
      </c>
      <c r="AP24" s="1699">
        <f t="shared" si="10"/>
        <v>0</v>
      </c>
      <c r="AQ24" s="1699">
        <f t="shared" si="11"/>
        <v>0</v>
      </c>
      <c r="AR24" s="1699">
        <f t="shared" si="2"/>
        <v>0</v>
      </c>
      <c r="AS24" s="1743">
        <v>0</v>
      </c>
      <c r="AT24" s="1692"/>
      <c r="AU24" s="1692"/>
      <c r="AV24" s="1692"/>
      <c r="AW24" s="2200">
        <f t="shared" si="12"/>
        <v>5</v>
      </c>
      <c r="AX24" s="2201">
        <f t="shared" si="3"/>
        <v>1</v>
      </c>
      <c r="AY24" s="2200">
        <v>4</v>
      </c>
      <c r="AZ24" s="2201">
        <f>AY24/AW24</f>
        <v>0.8</v>
      </c>
      <c r="BA24" s="2201">
        <v>0.4</v>
      </c>
      <c r="BB24" s="2201">
        <f>AY24/Y24</f>
        <v>0.4</v>
      </c>
      <c r="BC24" s="2202">
        <v>0</v>
      </c>
      <c r="BD24" s="2201">
        <v>0</v>
      </c>
      <c r="BE24" s="101" t="s">
        <v>2705</v>
      </c>
      <c r="BF24" s="101"/>
      <c r="BG24" s="2405">
        <f t="shared" si="13"/>
        <v>5</v>
      </c>
      <c r="BH24" s="2406">
        <f t="shared" si="4"/>
        <v>1</v>
      </c>
      <c r="BI24" s="2405">
        <v>5</v>
      </c>
      <c r="BJ24" s="2406">
        <v>1</v>
      </c>
      <c r="BK24" s="2406"/>
      <c r="BL24" s="2406">
        <f>BI24/Y24</f>
        <v>0.5</v>
      </c>
      <c r="BM24" s="2407"/>
      <c r="BN24" s="2406"/>
      <c r="BO24" s="2408" t="s">
        <v>3141</v>
      </c>
      <c r="BP24" s="2408"/>
    </row>
    <row r="25" spans="1:68" s="49" customFormat="1" ht="64.5" thickBot="1">
      <c r="A25" s="2689"/>
      <c r="B25" s="2655"/>
      <c r="C25" s="2657"/>
      <c r="D25" s="250" t="s">
        <v>591</v>
      </c>
      <c r="E25" s="283" t="s">
        <v>54</v>
      </c>
      <c r="F25" s="283">
        <v>15</v>
      </c>
      <c r="G25" s="283" t="s">
        <v>592</v>
      </c>
      <c r="H25" s="283" t="s">
        <v>593</v>
      </c>
      <c r="I25" s="66">
        <v>0.065</v>
      </c>
      <c r="J25" s="283" t="s">
        <v>594</v>
      </c>
      <c r="K25" s="252">
        <v>42005</v>
      </c>
      <c r="L25" s="252">
        <v>42369</v>
      </c>
      <c r="M25" s="284"/>
      <c r="N25" s="284"/>
      <c r="O25" s="284"/>
      <c r="P25" s="284"/>
      <c r="Q25" s="284"/>
      <c r="R25" s="284">
        <v>8</v>
      </c>
      <c r="S25" s="284"/>
      <c r="T25" s="285"/>
      <c r="U25" s="286"/>
      <c r="V25" s="287"/>
      <c r="W25" s="287"/>
      <c r="X25" s="287">
        <v>7</v>
      </c>
      <c r="Y25" s="276">
        <f t="shared" si="14"/>
        <v>15</v>
      </c>
      <c r="Z25" s="279">
        <v>0</v>
      </c>
      <c r="AA25" s="493" t="s">
        <v>1090</v>
      </c>
      <c r="AB25" s="98">
        <f t="shared" si="5"/>
        <v>0</v>
      </c>
      <c r="AC25" s="1311">
        <f t="shared" si="6"/>
        <v>0</v>
      </c>
      <c r="AD25" s="1509">
        <v>0</v>
      </c>
      <c r="AE25" s="1311" t="s">
        <v>1090</v>
      </c>
      <c r="AF25" s="1311">
        <f t="shared" si="7"/>
        <v>0</v>
      </c>
      <c r="AG25" s="1371">
        <f t="shared" si="8"/>
        <v>0</v>
      </c>
      <c r="AH25" s="99"/>
      <c r="AI25" s="98"/>
      <c r="AJ25" s="99"/>
      <c r="AK25" s="1326"/>
      <c r="AL25" s="1326"/>
      <c r="AM25" s="1692">
        <f t="shared" si="9"/>
        <v>0</v>
      </c>
      <c r="AN25" s="1699">
        <f t="shared" si="1"/>
        <v>0</v>
      </c>
      <c r="AO25" s="1692">
        <v>0</v>
      </c>
      <c r="AP25" s="1699" t="s">
        <v>1090</v>
      </c>
      <c r="AQ25" s="1699">
        <f t="shared" si="11"/>
        <v>0</v>
      </c>
      <c r="AR25" s="1699">
        <v>0</v>
      </c>
      <c r="AS25" s="1743">
        <v>0</v>
      </c>
      <c r="AT25" s="1692"/>
      <c r="AU25" s="1692"/>
      <c r="AV25" s="1692"/>
      <c r="AW25" s="2200">
        <f t="shared" si="12"/>
        <v>8</v>
      </c>
      <c r="AX25" s="2201">
        <f t="shared" si="3"/>
        <v>1</v>
      </c>
      <c r="AY25" s="2200">
        <v>0</v>
      </c>
      <c r="AZ25" s="2201">
        <v>0</v>
      </c>
      <c r="BA25" s="2201">
        <v>0</v>
      </c>
      <c r="BB25" s="2201">
        <v>0</v>
      </c>
      <c r="BC25" s="2202">
        <v>0</v>
      </c>
      <c r="BD25" s="2201">
        <v>0</v>
      </c>
      <c r="BE25" s="101"/>
      <c r="BF25" s="101"/>
      <c r="BG25" s="2405">
        <f t="shared" si="13"/>
        <v>8</v>
      </c>
      <c r="BH25" s="2406">
        <f t="shared" si="4"/>
        <v>1</v>
      </c>
      <c r="BI25" s="2405">
        <v>1</v>
      </c>
      <c r="BJ25" s="2406">
        <f>BI25/BG25</f>
        <v>0.125</v>
      </c>
      <c r="BK25" s="2406"/>
      <c r="BL25" s="2406">
        <f>BI25/Y25</f>
        <v>0.06666666666666667</v>
      </c>
      <c r="BM25" s="2407"/>
      <c r="BN25" s="2406"/>
      <c r="BO25" s="2408" t="s">
        <v>3142</v>
      </c>
      <c r="BP25" s="2408"/>
    </row>
    <row r="26" spans="1:68" s="49" customFormat="1" ht="90" thickBot="1">
      <c r="A26" s="2689"/>
      <c r="B26" s="2655"/>
      <c r="C26" s="2657"/>
      <c r="D26" s="250" t="s">
        <v>595</v>
      </c>
      <c r="E26" s="154" t="s">
        <v>54</v>
      </c>
      <c r="F26" s="65">
        <v>2</v>
      </c>
      <c r="G26" s="65" t="s">
        <v>596</v>
      </c>
      <c r="H26" s="65" t="s">
        <v>585</v>
      </c>
      <c r="I26" s="66">
        <v>0.05</v>
      </c>
      <c r="J26" s="65" t="s">
        <v>597</v>
      </c>
      <c r="K26" s="67">
        <v>42005</v>
      </c>
      <c r="L26" s="67" t="s">
        <v>598</v>
      </c>
      <c r="M26" s="280"/>
      <c r="N26" s="280"/>
      <c r="O26" s="280"/>
      <c r="P26" s="280"/>
      <c r="Q26" s="280"/>
      <c r="R26" s="280">
        <v>1</v>
      </c>
      <c r="S26" s="280"/>
      <c r="T26" s="281"/>
      <c r="U26" s="282"/>
      <c r="V26" s="115"/>
      <c r="W26" s="115"/>
      <c r="X26" s="115"/>
      <c r="Y26" s="276">
        <f t="shared" si="14"/>
        <v>1</v>
      </c>
      <c r="Z26" s="279">
        <v>10000000</v>
      </c>
      <c r="AA26" s="493" t="s">
        <v>1090</v>
      </c>
      <c r="AB26" s="98">
        <f t="shared" si="5"/>
        <v>0</v>
      </c>
      <c r="AC26" s="1311">
        <f t="shared" si="6"/>
        <v>0</v>
      </c>
      <c r="AD26" s="1509">
        <v>0</v>
      </c>
      <c r="AE26" s="1311" t="s">
        <v>1090</v>
      </c>
      <c r="AF26" s="1311">
        <f t="shared" si="7"/>
        <v>0</v>
      </c>
      <c r="AG26" s="1371">
        <f t="shared" si="8"/>
        <v>0</v>
      </c>
      <c r="AH26" s="99"/>
      <c r="AI26" s="98"/>
      <c r="AJ26" s="99"/>
      <c r="AK26" s="1363" t="s">
        <v>1943</v>
      </c>
      <c r="AL26" s="1326"/>
      <c r="AM26" s="1692">
        <f t="shared" si="9"/>
        <v>0</v>
      </c>
      <c r="AN26" s="1699">
        <f t="shared" si="1"/>
        <v>0</v>
      </c>
      <c r="AO26" s="1692">
        <v>0</v>
      </c>
      <c r="AP26" s="1699" t="s">
        <v>1090</v>
      </c>
      <c r="AQ26" s="1699">
        <f t="shared" si="11"/>
        <v>0</v>
      </c>
      <c r="AR26" s="1699">
        <v>0</v>
      </c>
      <c r="AS26" s="1743">
        <v>0</v>
      </c>
      <c r="AT26" s="1692"/>
      <c r="AU26" s="1692"/>
      <c r="AV26" s="1692"/>
      <c r="AW26" s="2200">
        <f t="shared" si="12"/>
        <v>1</v>
      </c>
      <c r="AX26" s="2201">
        <f t="shared" si="3"/>
        <v>1</v>
      </c>
      <c r="AY26" s="2200">
        <v>0</v>
      </c>
      <c r="AZ26" s="2201">
        <v>0</v>
      </c>
      <c r="BA26" s="2201">
        <v>0</v>
      </c>
      <c r="BB26" s="2201">
        <v>0</v>
      </c>
      <c r="BC26" s="2202">
        <v>0</v>
      </c>
      <c r="BD26" s="2201">
        <v>0</v>
      </c>
      <c r="BE26" s="101"/>
      <c r="BF26" s="101"/>
      <c r="BG26" s="2405">
        <f t="shared" si="13"/>
        <v>1</v>
      </c>
      <c r="BH26" s="2406">
        <f t="shared" si="4"/>
        <v>1</v>
      </c>
      <c r="BI26" s="2405">
        <v>1</v>
      </c>
      <c r="BJ26" s="2406">
        <v>1</v>
      </c>
      <c r="BK26" s="2406"/>
      <c r="BL26" s="2406">
        <v>1</v>
      </c>
      <c r="BM26" s="2407"/>
      <c r="BN26" s="2406"/>
      <c r="BO26" s="2408" t="s">
        <v>3143</v>
      </c>
      <c r="BP26" s="2408"/>
    </row>
    <row r="27" spans="1:68" s="49" customFormat="1" ht="115.5" thickBot="1">
      <c r="A27" s="2689"/>
      <c r="B27" s="2655"/>
      <c r="C27" s="2657"/>
      <c r="D27" s="250" t="s">
        <v>599</v>
      </c>
      <c r="E27" s="65" t="s">
        <v>54</v>
      </c>
      <c r="F27" s="65">
        <v>4</v>
      </c>
      <c r="G27" s="65" t="s">
        <v>600</v>
      </c>
      <c r="H27" s="65" t="s">
        <v>585</v>
      </c>
      <c r="I27" s="66">
        <v>0.04</v>
      </c>
      <c r="J27" s="65" t="s">
        <v>601</v>
      </c>
      <c r="K27" s="67">
        <v>42005</v>
      </c>
      <c r="L27" s="67" t="s">
        <v>598</v>
      </c>
      <c r="M27" s="280"/>
      <c r="N27" s="280"/>
      <c r="O27" s="280"/>
      <c r="P27" s="280"/>
      <c r="Q27" s="280"/>
      <c r="R27" s="280">
        <v>4</v>
      </c>
      <c r="S27" s="280"/>
      <c r="T27" s="281"/>
      <c r="U27" s="282"/>
      <c r="V27" s="115"/>
      <c r="W27" s="115"/>
      <c r="X27" s="115"/>
      <c r="Y27" s="276">
        <f t="shared" si="14"/>
        <v>4</v>
      </c>
      <c r="Z27" s="279">
        <v>20000000</v>
      </c>
      <c r="AA27" s="493" t="s">
        <v>1090</v>
      </c>
      <c r="AB27" s="98">
        <f t="shared" si="5"/>
        <v>0</v>
      </c>
      <c r="AC27" s="1311">
        <f t="shared" si="6"/>
        <v>0</v>
      </c>
      <c r="AD27" s="1509">
        <v>0</v>
      </c>
      <c r="AE27" s="1311" t="s">
        <v>1090</v>
      </c>
      <c r="AF27" s="1311">
        <f t="shared" si="7"/>
        <v>0</v>
      </c>
      <c r="AG27" s="1371">
        <f t="shared" si="8"/>
        <v>0</v>
      </c>
      <c r="AH27" s="99"/>
      <c r="AI27" s="98"/>
      <c r="AJ27" s="99"/>
      <c r="AK27" s="1363" t="s">
        <v>1944</v>
      </c>
      <c r="AL27" s="1326"/>
      <c r="AM27" s="1692">
        <f t="shared" si="9"/>
        <v>0</v>
      </c>
      <c r="AN27" s="1699">
        <f t="shared" si="1"/>
        <v>0</v>
      </c>
      <c r="AO27" s="1692">
        <v>0</v>
      </c>
      <c r="AP27" s="1699" t="s">
        <v>1090</v>
      </c>
      <c r="AQ27" s="1699">
        <f t="shared" si="11"/>
        <v>0</v>
      </c>
      <c r="AR27" s="1699">
        <v>0</v>
      </c>
      <c r="AS27" s="1743">
        <v>0</v>
      </c>
      <c r="AT27" s="1692"/>
      <c r="AU27" s="1692"/>
      <c r="AV27" s="1692"/>
      <c r="AW27" s="2200">
        <f t="shared" si="12"/>
        <v>4</v>
      </c>
      <c r="AX27" s="2201">
        <f t="shared" si="3"/>
        <v>1</v>
      </c>
      <c r="AY27" s="2200">
        <v>0</v>
      </c>
      <c r="AZ27" s="2201">
        <v>0</v>
      </c>
      <c r="BA27" s="2201">
        <v>0</v>
      </c>
      <c r="BB27" s="2201">
        <v>0</v>
      </c>
      <c r="BC27" s="2202">
        <v>0</v>
      </c>
      <c r="BD27" s="2201">
        <v>0</v>
      </c>
      <c r="BE27" s="101"/>
      <c r="BF27" s="101"/>
      <c r="BG27" s="2405">
        <f t="shared" si="13"/>
        <v>4</v>
      </c>
      <c r="BH27" s="2406">
        <f t="shared" si="4"/>
        <v>1</v>
      </c>
      <c r="BI27" s="2405">
        <v>1</v>
      </c>
      <c r="BJ27" s="2406">
        <f>BI27/BG27</f>
        <v>0.25</v>
      </c>
      <c r="BK27" s="2406"/>
      <c r="BL27" s="2406">
        <f>BI27/Y27</f>
        <v>0.25</v>
      </c>
      <c r="BM27" s="2407"/>
      <c r="BN27" s="2406"/>
      <c r="BO27" s="2408" t="s">
        <v>3143</v>
      </c>
      <c r="BP27" s="2408"/>
    </row>
    <row r="28" spans="1:68" s="49" customFormat="1" ht="98.25" customHeight="1" thickBot="1">
      <c r="A28" s="2689"/>
      <c r="B28" s="2655"/>
      <c r="C28" s="2657"/>
      <c r="D28" s="293" t="s">
        <v>602</v>
      </c>
      <c r="E28" s="283" t="s">
        <v>54</v>
      </c>
      <c r="F28" s="283">
        <v>10</v>
      </c>
      <c r="G28" s="283" t="s">
        <v>603</v>
      </c>
      <c r="H28" s="283" t="s">
        <v>604</v>
      </c>
      <c r="I28" s="66">
        <v>0.0556</v>
      </c>
      <c r="J28" s="283" t="s">
        <v>605</v>
      </c>
      <c r="K28" s="252">
        <v>42005</v>
      </c>
      <c r="L28" s="252">
        <v>42369</v>
      </c>
      <c r="M28" s="284"/>
      <c r="N28" s="284"/>
      <c r="O28" s="284">
        <v>2</v>
      </c>
      <c r="P28" s="284"/>
      <c r="Q28" s="284">
        <v>1</v>
      </c>
      <c r="R28" s="284">
        <v>2</v>
      </c>
      <c r="S28" s="284"/>
      <c r="T28" s="285">
        <v>1</v>
      </c>
      <c r="U28" s="286">
        <v>2</v>
      </c>
      <c r="V28" s="287"/>
      <c r="W28" s="287"/>
      <c r="X28" s="287">
        <v>2</v>
      </c>
      <c r="Y28" s="276">
        <f t="shared" si="14"/>
        <v>10</v>
      </c>
      <c r="Z28" s="279">
        <v>100000000</v>
      </c>
      <c r="AA28" s="493" t="s">
        <v>1090</v>
      </c>
      <c r="AB28" s="98">
        <f t="shared" si="5"/>
        <v>0</v>
      </c>
      <c r="AC28" s="1311">
        <f t="shared" si="6"/>
        <v>0</v>
      </c>
      <c r="AD28" s="1509">
        <v>0</v>
      </c>
      <c r="AE28" s="1311" t="s">
        <v>1090</v>
      </c>
      <c r="AF28" s="1311">
        <f t="shared" si="7"/>
        <v>0</v>
      </c>
      <c r="AG28" s="1371">
        <f t="shared" si="8"/>
        <v>0</v>
      </c>
      <c r="AH28" s="99"/>
      <c r="AI28" s="98"/>
      <c r="AJ28" s="99"/>
      <c r="AK28" s="1363" t="s">
        <v>1945</v>
      </c>
      <c r="AL28" s="1326"/>
      <c r="AM28" s="1692">
        <f t="shared" si="9"/>
        <v>2</v>
      </c>
      <c r="AN28" s="1699">
        <f t="shared" si="1"/>
        <v>1</v>
      </c>
      <c r="AO28" s="1692">
        <v>4</v>
      </c>
      <c r="AP28" s="1699">
        <v>1</v>
      </c>
      <c r="AQ28" s="1699">
        <f t="shared" si="11"/>
        <v>0.4</v>
      </c>
      <c r="AR28" s="1699">
        <f t="shared" si="2"/>
        <v>1</v>
      </c>
      <c r="AS28" s="1743">
        <v>0</v>
      </c>
      <c r="AT28" s="1692"/>
      <c r="AU28" s="1692" t="s">
        <v>2258</v>
      </c>
      <c r="AV28" s="1692"/>
      <c r="AW28" s="2200">
        <f t="shared" si="12"/>
        <v>5</v>
      </c>
      <c r="AX28" s="2201">
        <f t="shared" si="3"/>
        <v>1</v>
      </c>
      <c r="AY28" s="2200">
        <v>2</v>
      </c>
      <c r="AZ28" s="2201">
        <f>AY28/AW28</f>
        <v>0.4</v>
      </c>
      <c r="BA28" s="2201">
        <v>0.2</v>
      </c>
      <c r="BB28" s="2201">
        <f>AY28/Y28</f>
        <v>0.2</v>
      </c>
      <c r="BC28" s="2202">
        <v>0</v>
      </c>
      <c r="BD28" s="2201">
        <v>0</v>
      </c>
      <c r="BE28" s="101" t="s">
        <v>2706</v>
      </c>
      <c r="BF28" s="101"/>
      <c r="BG28" s="2405">
        <f t="shared" si="13"/>
        <v>6</v>
      </c>
      <c r="BH28" s="2406">
        <f t="shared" si="4"/>
        <v>1</v>
      </c>
      <c r="BI28" s="2405">
        <v>5</v>
      </c>
      <c r="BJ28" s="2406">
        <f>BI28/BG28</f>
        <v>0.8333333333333334</v>
      </c>
      <c r="BK28" s="2406"/>
      <c r="BL28" s="2406">
        <v>0.5</v>
      </c>
      <c r="BM28" s="2407"/>
      <c r="BN28" s="2406"/>
      <c r="BO28" s="2408" t="s">
        <v>3144</v>
      </c>
      <c r="BP28" s="2408"/>
    </row>
    <row r="29" spans="1:68" s="49" customFormat="1" ht="131.25" customHeight="1" thickBot="1">
      <c r="A29" s="2689"/>
      <c r="B29" s="2655"/>
      <c r="C29" s="2657"/>
      <c r="D29" s="250" t="s">
        <v>606</v>
      </c>
      <c r="E29" s="65" t="s">
        <v>54</v>
      </c>
      <c r="F29" s="65">
        <v>7</v>
      </c>
      <c r="G29" s="65" t="s">
        <v>607</v>
      </c>
      <c r="H29" s="65" t="s">
        <v>581</v>
      </c>
      <c r="I29" s="66">
        <v>0.0556</v>
      </c>
      <c r="J29" s="65" t="s">
        <v>597</v>
      </c>
      <c r="K29" s="67">
        <v>42005</v>
      </c>
      <c r="L29" s="67">
        <v>42369</v>
      </c>
      <c r="M29" s="280"/>
      <c r="N29" s="280"/>
      <c r="O29" s="280"/>
      <c r="P29" s="280">
        <v>3</v>
      </c>
      <c r="Q29" s="280"/>
      <c r="R29" s="280"/>
      <c r="S29" s="280"/>
      <c r="T29" s="281">
        <v>3</v>
      </c>
      <c r="U29" s="282"/>
      <c r="V29" s="115"/>
      <c r="W29" s="115"/>
      <c r="X29" s="115">
        <v>1</v>
      </c>
      <c r="Y29" s="276">
        <f t="shared" si="14"/>
        <v>7</v>
      </c>
      <c r="Z29" s="279">
        <v>0</v>
      </c>
      <c r="AA29" s="493" t="s">
        <v>1090</v>
      </c>
      <c r="AB29" s="98">
        <f t="shared" si="5"/>
        <v>0</v>
      </c>
      <c r="AC29" s="1311">
        <f t="shared" si="6"/>
        <v>0</v>
      </c>
      <c r="AD29" s="1509">
        <v>0</v>
      </c>
      <c r="AE29" s="1311" t="s">
        <v>1090</v>
      </c>
      <c r="AF29" s="1311">
        <f t="shared" si="7"/>
        <v>0</v>
      </c>
      <c r="AG29" s="1371">
        <f t="shared" si="8"/>
        <v>0</v>
      </c>
      <c r="AH29" s="99"/>
      <c r="AI29" s="98"/>
      <c r="AJ29" s="99"/>
      <c r="AK29" s="1326" t="s">
        <v>1946</v>
      </c>
      <c r="AL29" s="1326"/>
      <c r="AM29" s="1692">
        <f t="shared" si="9"/>
        <v>3</v>
      </c>
      <c r="AN29" s="1699">
        <f t="shared" si="1"/>
        <v>1</v>
      </c>
      <c r="AO29" s="1692">
        <v>4</v>
      </c>
      <c r="AP29" s="1699">
        <v>1</v>
      </c>
      <c r="AQ29" s="1699">
        <f t="shared" si="11"/>
        <v>0.5714285714285714</v>
      </c>
      <c r="AR29" s="1699">
        <f t="shared" si="2"/>
        <v>1</v>
      </c>
      <c r="AS29" s="1743">
        <v>0</v>
      </c>
      <c r="AT29" s="1692"/>
      <c r="AU29" s="1692" t="s">
        <v>2259</v>
      </c>
      <c r="AV29" s="1692"/>
      <c r="AW29" s="2200">
        <f t="shared" si="12"/>
        <v>3</v>
      </c>
      <c r="AX29" s="2201">
        <f t="shared" si="3"/>
        <v>1</v>
      </c>
      <c r="AY29" s="2200">
        <v>6</v>
      </c>
      <c r="AZ29" s="2201">
        <v>1</v>
      </c>
      <c r="BA29" s="2201">
        <v>0.8571428571428571</v>
      </c>
      <c r="BB29" s="2201">
        <f>AY29/Y29</f>
        <v>0.8571428571428571</v>
      </c>
      <c r="BC29" s="2202">
        <v>0</v>
      </c>
      <c r="BD29" s="2201">
        <v>0</v>
      </c>
      <c r="BE29" s="101" t="s">
        <v>2707</v>
      </c>
      <c r="BF29" s="101"/>
      <c r="BG29" s="2405">
        <f t="shared" si="13"/>
        <v>6</v>
      </c>
      <c r="BH29" s="2406">
        <f t="shared" si="4"/>
        <v>1</v>
      </c>
      <c r="BI29" s="2405">
        <v>6</v>
      </c>
      <c r="BJ29" s="2406">
        <v>1</v>
      </c>
      <c r="BK29" s="2406"/>
      <c r="BL29" s="2406">
        <f>BI29/Y29</f>
        <v>0.8571428571428571</v>
      </c>
      <c r="BM29" s="2407"/>
      <c r="BN29" s="2406"/>
      <c r="BO29" s="2408" t="s">
        <v>3145</v>
      </c>
      <c r="BP29" s="2408"/>
    </row>
    <row r="30" spans="1:68" s="49" customFormat="1" ht="83.25" customHeight="1" thickBot="1">
      <c r="A30" s="2689"/>
      <c r="B30" s="2655"/>
      <c r="C30" s="2772"/>
      <c r="D30" s="250" t="s">
        <v>608</v>
      </c>
      <c r="E30" s="65" t="s">
        <v>62</v>
      </c>
      <c r="F30" s="65">
        <v>50</v>
      </c>
      <c r="G30" s="65" t="s">
        <v>609</v>
      </c>
      <c r="H30" s="65" t="s">
        <v>610</v>
      </c>
      <c r="I30" s="66">
        <v>0.06</v>
      </c>
      <c r="J30" s="65" t="s">
        <v>611</v>
      </c>
      <c r="K30" s="67">
        <v>42005</v>
      </c>
      <c r="L30" s="67">
        <v>42369</v>
      </c>
      <c r="M30" s="280"/>
      <c r="N30" s="280"/>
      <c r="O30" s="280"/>
      <c r="P30" s="280"/>
      <c r="Q30" s="280"/>
      <c r="R30" s="280"/>
      <c r="S30" s="280"/>
      <c r="T30" s="281"/>
      <c r="U30" s="282"/>
      <c r="V30" s="115"/>
      <c r="W30" s="115"/>
      <c r="X30" s="294">
        <v>0.5</v>
      </c>
      <c r="Y30" s="295">
        <f t="shared" si="14"/>
        <v>0.5</v>
      </c>
      <c r="Z30" s="279">
        <v>0</v>
      </c>
      <c r="AA30" s="493" t="s">
        <v>1090</v>
      </c>
      <c r="AB30" s="98">
        <f t="shared" si="5"/>
        <v>0</v>
      </c>
      <c r="AC30" s="1311">
        <f t="shared" si="6"/>
        <v>0</v>
      </c>
      <c r="AD30" s="1509">
        <v>0</v>
      </c>
      <c r="AE30" s="1311" t="s">
        <v>1090</v>
      </c>
      <c r="AF30" s="1311">
        <f t="shared" si="7"/>
        <v>0</v>
      </c>
      <c r="AG30" s="1371">
        <f t="shared" si="8"/>
        <v>0</v>
      </c>
      <c r="AH30" s="99"/>
      <c r="AI30" s="98"/>
      <c r="AJ30" s="99"/>
      <c r="AK30" s="1363" t="s">
        <v>1947</v>
      </c>
      <c r="AL30" s="1326"/>
      <c r="AM30" s="1692">
        <f t="shared" si="9"/>
        <v>0</v>
      </c>
      <c r="AN30" s="1699">
        <f t="shared" si="1"/>
        <v>0</v>
      </c>
      <c r="AO30" s="1692">
        <v>0</v>
      </c>
      <c r="AP30" s="1699" t="s">
        <v>1090</v>
      </c>
      <c r="AQ30" s="1699">
        <f t="shared" si="11"/>
        <v>0</v>
      </c>
      <c r="AR30" s="1699">
        <v>0</v>
      </c>
      <c r="AS30" s="1743">
        <v>0</v>
      </c>
      <c r="AT30" s="1692"/>
      <c r="AU30" s="1692" t="s">
        <v>2260</v>
      </c>
      <c r="AV30" s="1692"/>
      <c r="AW30" s="2200">
        <f t="shared" si="12"/>
        <v>0</v>
      </c>
      <c r="AX30" s="2201">
        <f t="shared" si="3"/>
        <v>0</v>
      </c>
      <c r="AY30" s="2200">
        <v>0</v>
      </c>
      <c r="AZ30" s="2201" t="s">
        <v>1090</v>
      </c>
      <c r="BA30" s="2201">
        <v>0</v>
      </c>
      <c r="BB30" s="2201">
        <v>0</v>
      </c>
      <c r="BC30" s="2202">
        <v>0</v>
      </c>
      <c r="BD30" s="2201">
        <v>0</v>
      </c>
      <c r="BE30" s="101" t="s">
        <v>2708</v>
      </c>
      <c r="BF30" s="101"/>
      <c r="BG30" s="2405">
        <f t="shared" si="13"/>
        <v>0</v>
      </c>
      <c r="BH30" s="2406">
        <f t="shared" si="4"/>
        <v>0</v>
      </c>
      <c r="BI30" s="2405" t="s">
        <v>1090</v>
      </c>
      <c r="BJ30" s="2406" t="s">
        <v>1090</v>
      </c>
      <c r="BK30" s="2406"/>
      <c r="BL30" s="2406">
        <v>0</v>
      </c>
      <c r="BM30" s="2407"/>
      <c r="BN30" s="2406"/>
      <c r="BO30" s="2408" t="s">
        <v>3146</v>
      </c>
      <c r="BP30" s="2408"/>
    </row>
    <row r="31" spans="1:68" s="49" customFormat="1" ht="90" thickBot="1">
      <c r="A31" s="2689"/>
      <c r="B31" s="2655"/>
      <c r="C31" s="2773" t="s">
        <v>612</v>
      </c>
      <c r="D31" s="293" t="s">
        <v>613</v>
      </c>
      <c r="E31" s="283" t="s">
        <v>54</v>
      </c>
      <c r="F31" s="283">
        <v>2</v>
      </c>
      <c r="G31" s="283" t="s">
        <v>614</v>
      </c>
      <c r="H31" s="283" t="s">
        <v>559</v>
      </c>
      <c r="I31" s="66">
        <v>0.0635</v>
      </c>
      <c r="J31" s="283" t="s">
        <v>615</v>
      </c>
      <c r="K31" s="252">
        <v>42005</v>
      </c>
      <c r="L31" s="252">
        <v>42369</v>
      </c>
      <c r="M31" s="284"/>
      <c r="N31" s="284"/>
      <c r="O31" s="284"/>
      <c r="P31" s="284"/>
      <c r="Q31" s="284">
        <v>1</v>
      </c>
      <c r="R31" s="284"/>
      <c r="S31" s="284"/>
      <c r="T31" s="285"/>
      <c r="U31" s="286"/>
      <c r="V31" s="287"/>
      <c r="W31" s="287"/>
      <c r="X31" s="287">
        <v>1</v>
      </c>
      <c r="Y31" s="276">
        <f t="shared" si="14"/>
        <v>2</v>
      </c>
      <c r="Z31" s="279">
        <v>0</v>
      </c>
      <c r="AA31" s="493" t="s">
        <v>1090</v>
      </c>
      <c r="AB31" s="98">
        <f t="shared" si="5"/>
        <v>0</v>
      </c>
      <c r="AC31" s="1311">
        <f t="shared" si="6"/>
        <v>0</v>
      </c>
      <c r="AD31" s="1509">
        <v>0</v>
      </c>
      <c r="AE31" s="1311" t="s">
        <v>1090</v>
      </c>
      <c r="AF31" s="1311">
        <f t="shared" si="7"/>
        <v>0</v>
      </c>
      <c r="AG31" s="1371">
        <f t="shared" si="8"/>
        <v>0</v>
      </c>
      <c r="AH31" s="99"/>
      <c r="AI31" s="98"/>
      <c r="AJ31" s="99"/>
      <c r="AK31" s="1363" t="s">
        <v>1948</v>
      </c>
      <c r="AL31" s="1326"/>
      <c r="AM31" s="1692">
        <f t="shared" si="9"/>
        <v>0</v>
      </c>
      <c r="AN31" s="1699">
        <f t="shared" si="1"/>
        <v>0</v>
      </c>
      <c r="AO31" s="1692">
        <v>0</v>
      </c>
      <c r="AP31" s="1699" t="s">
        <v>1090</v>
      </c>
      <c r="AQ31" s="1699">
        <f t="shared" si="11"/>
        <v>0</v>
      </c>
      <c r="AR31" s="1699">
        <v>0</v>
      </c>
      <c r="AS31" s="1743">
        <v>0</v>
      </c>
      <c r="AT31" s="1692"/>
      <c r="AU31" s="1692"/>
      <c r="AV31" s="1692"/>
      <c r="AW31" s="2200">
        <f t="shared" si="12"/>
        <v>1</v>
      </c>
      <c r="AX31" s="2201">
        <f t="shared" si="3"/>
        <v>1</v>
      </c>
      <c r="AY31" s="2200">
        <v>1</v>
      </c>
      <c r="AZ31" s="2201">
        <v>1</v>
      </c>
      <c r="BA31" s="2201">
        <v>0.5</v>
      </c>
      <c r="BB31" s="2201">
        <v>0.5</v>
      </c>
      <c r="BC31" s="2202">
        <v>0</v>
      </c>
      <c r="BD31" s="2201">
        <v>0</v>
      </c>
      <c r="BE31" s="101"/>
      <c r="BF31" s="101"/>
      <c r="BG31" s="2405">
        <f t="shared" si="13"/>
        <v>1</v>
      </c>
      <c r="BH31" s="2406">
        <f t="shared" si="4"/>
        <v>1</v>
      </c>
      <c r="BI31" s="2405">
        <v>1</v>
      </c>
      <c r="BJ31" s="2406">
        <v>1</v>
      </c>
      <c r="BK31" s="2406"/>
      <c r="BL31" s="2406">
        <v>0.5</v>
      </c>
      <c r="BM31" s="2407"/>
      <c r="BN31" s="2406"/>
      <c r="BO31" s="2408"/>
      <c r="BP31" s="2408"/>
    </row>
    <row r="32" spans="1:68" s="49" customFormat="1" ht="64.5" thickBot="1">
      <c r="A32" s="2689"/>
      <c r="B32" s="2655"/>
      <c r="C32" s="2657"/>
      <c r="D32" s="296" t="s">
        <v>616</v>
      </c>
      <c r="E32" s="262" t="s">
        <v>54</v>
      </c>
      <c r="F32" s="262">
        <v>3</v>
      </c>
      <c r="G32" s="262" t="s">
        <v>617</v>
      </c>
      <c r="H32" s="262" t="s">
        <v>559</v>
      </c>
      <c r="I32" s="66">
        <v>0.045</v>
      </c>
      <c r="J32" s="262" t="s">
        <v>618</v>
      </c>
      <c r="K32" s="68">
        <v>42005</v>
      </c>
      <c r="L32" s="68">
        <v>42369</v>
      </c>
      <c r="M32" s="70"/>
      <c r="N32" s="70"/>
      <c r="O32" s="70"/>
      <c r="P32" s="70">
        <v>1</v>
      </c>
      <c r="Q32" s="70"/>
      <c r="R32" s="70"/>
      <c r="S32" s="70"/>
      <c r="T32" s="71">
        <v>1</v>
      </c>
      <c r="U32" s="72"/>
      <c r="V32" s="73"/>
      <c r="W32" s="73"/>
      <c r="X32" s="73">
        <v>1</v>
      </c>
      <c r="Y32" s="276">
        <f t="shared" si="14"/>
        <v>3</v>
      </c>
      <c r="Z32" s="279">
        <v>0</v>
      </c>
      <c r="AA32" s="493" t="s">
        <v>1090</v>
      </c>
      <c r="AB32" s="98">
        <f t="shared" si="5"/>
        <v>0</v>
      </c>
      <c r="AC32" s="1311">
        <f t="shared" si="6"/>
        <v>0</v>
      </c>
      <c r="AD32" s="1509">
        <v>0</v>
      </c>
      <c r="AE32" s="1311" t="s">
        <v>1090</v>
      </c>
      <c r="AF32" s="1311">
        <f t="shared" si="7"/>
        <v>0</v>
      </c>
      <c r="AG32" s="1371">
        <f t="shared" si="8"/>
        <v>0</v>
      </c>
      <c r="AH32" s="99"/>
      <c r="AI32" s="98"/>
      <c r="AJ32" s="99"/>
      <c r="AK32" s="1326"/>
      <c r="AL32" s="1326"/>
      <c r="AM32" s="1692">
        <f t="shared" si="9"/>
        <v>1</v>
      </c>
      <c r="AN32" s="1699">
        <f t="shared" si="1"/>
        <v>1</v>
      </c>
      <c r="AO32" s="1692">
        <v>0</v>
      </c>
      <c r="AP32" s="1699">
        <f t="shared" si="10"/>
        <v>0</v>
      </c>
      <c r="AQ32" s="1699">
        <f t="shared" si="11"/>
        <v>0</v>
      </c>
      <c r="AR32" s="1699">
        <f t="shared" si="2"/>
        <v>0</v>
      </c>
      <c r="AS32" s="1743">
        <v>0</v>
      </c>
      <c r="AT32" s="1692"/>
      <c r="AU32" s="1692"/>
      <c r="AV32" s="1692"/>
      <c r="AW32" s="2200">
        <f t="shared" si="12"/>
        <v>1</v>
      </c>
      <c r="AX32" s="2201">
        <f t="shared" si="3"/>
        <v>1</v>
      </c>
      <c r="AY32" s="2200">
        <v>0</v>
      </c>
      <c r="AZ32" s="2201">
        <v>0</v>
      </c>
      <c r="BA32" s="2201">
        <v>0</v>
      </c>
      <c r="BB32" s="2201">
        <v>0</v>
      </c>
      <c r="BC32" s="2202">
        <v>0</v>
      </c>
      <c r="BD32" s="2201">
        <v>0</v>
      </c>
      <c r="BE32" s="101"/>
      <c r="BF32" s="101"/>
      <c r="BG32" s="2405">
        <f t="shared" si="13"/>
        <v>2</v>
      </c>
      <c r="BH32" s="2406">
        <f t="shared" si="4"/>
        <v>1</v>
      </c>
      <c r="BI32" s="2405">
        <v>0</v>
      </c>
      <c r="BJ32" s="2406">
        <v>0</v>
      </c>
      <c r="BK32" s="2406"/>
      <c r="BL32" s="2406">
        <v>0</v>
      </c>
      <c r="BM32" s="2407"/>
      <c r="BN32" s="2406"/>
      <c r="BO32" s="2408"/>
      <c r="BP32" s="2408"/>
    </row>
    <row r="33" spans="1:68" s="49" customFormat="1" ht="51.75" thickBot="1">
      <c r="A33" s="2689"/>
      <c r="B33" s="2655"/>
      <c r="C33" s="2664"/>
      <c r="D33" s="250" t="s">
        <v>619</v>
      </c>
      <c r="E33" s="65" t="s">
        <v>620</v>
      </c>
      <c r="F33" s="65">
        <v>8</v>
      </c>
      <c r="G33" s="65" t="s">
        <v>621</v>
      </c>
      <c r="H33" s="65" t="s">
        <v>622</v>
      </c>
      <c r="I33" s="66">
        <v>0.0635</v>
      </c>
      <c r="J33" s="65" t="s">
        <v>623</v>
      </c>
      <c r="K33" s="67">
        <v>42005</v>
      </c>
      <c r="L33" s="67">
        <v>42369</v>
      </c>
      <c r="M33" s="280"/>
      <c r="N33" s="280"/>
      <c r="O33" s="280">
        <v>2</v>
      </c>
      <c r="P33" s="280"/>
      <c r="Q33" s="280"/>
      <c r="R33" s="280">
        <v>2</v>
      </c>
      <c r="S33" s="280"/>
      <c r="T33" s="281"/>
      <c r="U33" s="282">
        <v>2</v>
      </c>
      <c r="V33" s="115"/>
      <c r="W33" s="115"/>
      <c r="X33" s="115">
        <v>2</v>
      </c>
      <c r="Y33" s="276">
        <f t="shared" si="14"/>
        <v>8</v>
      </c>
      <c r="Z33" s="279">
        <v>0</v>
      </c>
      <c r="AA33" s="493" t="s">
        <v>1090</v>
      </c>
      <c r="AB33" s="98">
        <f t="shared" si="5"/>
        <v>0</v>
      </c>
      <c r="AC33" s="1311">
        <f t="shared" si="6"/>
        <v>0</v>
      </c>
      <c r="AD33" s="1509">
        <v>0</v>
      </c>
      <c r="AE33" s="1311" t="s">
        <v>1090</v>
      </c>
      <c r="AF33" s="1311">
        <f t="shared" si="7"/>
        <v>0</v>
      </c>
      <c r="AG33" s="1371">
        <f t="shared" si="8"/>
        <v>0</v>
      </c>
      <c r="AH33" s="99"/>
      <c r="AI33" s="98"/>
      <c r="AJ33" s="99"/>
      <c r="AK33" s="1363" t="s">
        <v>1949</v>
      </c>
      <c r="AL33" s="1326"/>
      <c r="AM33" s="1692">
        <f t="shared" si="9"/>
        <v>2</v>
      </c>
      <c r="AN33" s="1699">
        <f t="shared" si="1"/>
        <v>1</v>
      </c>
      <c r="AO33" s="1692">
        <v>1</v>
      </c>
      <c r="AP33" s="1699">
        <f t="shared" si="10"/>
        <v>0.5</v>
      </c>
      <c r="AQ33" s="1699">
        <f t="shared" si="11"/>
        <v>0.125</v>
      </c>
      <c r="AR33" s="1699">
        <f t="shared" si="2"/>
        <v>0.5</v>
      </c>
      <c r="AS33" s="1743">
        <v>0</v>
      </c>
      <c r="AT33" s="1692"/>
      <c r="AU33" s="1692" t="s">
        <v>2261</v>
      </c>
      <c r="AV33" s="1692"/>
      <c r="AW33" s="2200">
        <f t="shared" si="12"/>
        <v>4</v>
      </c>
      <c r="AX33" s="2201">
        <f t="shared" si="3"/>
        <v>1</v>
      </c>
      <c r="AY33" s="2200">
        <v>2</v>
      </c>
      <c r="AZ33" s="2201">
        <v>0.5</v>
      </c>
      <c r="BA33" s="2201">
        <v>0.5</v>
      </c>
      <c r="BB33" s="2201">
        <v>0.5</v>
      </c>
      <c r="BC33" s="2202">
        <v>0</v>
      </c>
      <c r="BD33" s="2201">
        <v>0</v>
      </c>
      <c r="BE33" s="101" t="s">
        <v>2709</v>
      </c>
      <c r="BF33" s="101"/>
      <c r="BG33" s="2405">
        <f t="shared" si="13"/>
        <v>4</v>
      </c>
      <c r="BH33" s="2406">
        <f t="shared" si="4"/>
        <v>1</v>
      </c>
      <c r="BI33" s="2405">
        <v>3</v>
      </c>
      <c r="BJ33" s="2406">
        <f>BI33/BG33</f>
        <v>0.75</v>
      </c>
      <c r="BK33" s="2406"/>
      <c r="BL33" s="2406">
        <f>BI33/Y33</f>
        <v>0.375</v>
      </c>
      <c r="BM33" s="2407"/>
      <c r="BN33" s="2406"/>
      <c r="BO33" s="2408" t="s">
        <v>3147</v>
      </c>
      <c r="BP33" s="2408"/>
    </row>
    <row r="34" spans="1:68" s="34" customFormat="1" ht="20.1" customHeight="1" thickBot="1">
      <c r="A34" s="2652" t="s">
        <v>130</v>
      </c>
      <c r="B34" s="2653"/>
      <c r="C34" s="2653"/>
      <c r="D34" s="2654"/>
      <c r="E34" s="179"/>
      <c r="F34" s="179"/>
      <c r="G34" s="179"/>
      <c r="H34" s="179"/>
      <c r="I34" s="157">
        <f>SUM(I16:I33)</f>
        <v>1</v>
      </c>
      <c r="J34" s="179"/>
      <c r="K34" s="179"/>
      <c r="L34" s="179"/>
      <c r="M34" s="179"/>
      <c r="N34" s="179"/>
      <c r="O34" s="179"/>
      <c r="P34" s="179"/>
      <c r="Q34" s="179"/>
      <c r="R34" s="179"/>
      <c r="S34" s="179"/>
      <c r="T34" s="179"/>
      <c r="U34" s="179"/>
      <c r="V34" s="179"/>
      <c r="W34" s="179"/>
      <c r="X34" s="179"/>
      <c r="Y34" s="87"/>
      <c r="Z34" s="297">
        <f>SUM(Z16:Z33)</f>
        <v>142000000</v>
      </c>
      <c r="AA34" s="180"/>
      <c r="AB34" s="1502"/>
      <c r="AC34" s="1501" t="s">
        <v>1090</v>
      </c>
      <c r="AD34" s="1515"/>
      <c r="AE34" s="1501" t="s">
        <v>1090</v>
      </c>
      <c r="AF34" s="1501"/>
      <c r="AG34" s="1545">
        <f>AVERAGE(AG16:AG33)</f>
        <v>0</v>
      </c>
      <c r="AH34" s="1545" t="e">
        <f>AVERAGE(AH16:AH33)</f>
        <v>#DIV/0!</v>
      </c>
      <c r="AI34" s="1545">
        <f>SUM(AI16:AI33)</f>
        <v>0</v>
      </c>
      <c r="AJ34" s="1545"/>
      <c r="AK34" s="130"/>
      <c r="AL34" s="130"/>
      <c r="AM34" s="131"/>
      <c r="AN34" s="1854">
        <f>AVERAGEIF(AN28:AN33,"&gt;0")</f>
        <v>1</v>
      </c>
      <c r="AO34" s="131"/>
      <c r="AP34" s="1876">
        <f>AVERAGE(AP16:AP33)</f>
        <v>0.375</v>
      </c>
      <c r="AQ34" s="1876"/>
      <c r="AR34" s="1876">
        <f>AVERAGE(AR16:AR33)</f>
        <v>0.25</v>
      </c>
      <c r="AS34" s="131"/>
      <c r="AT34" s="131"/>
      <c r="AU34" s="131"/>
      <c r="AV34" s="131"/>
      <c r="AW34" s="131"/>
      <c r="AX34" s="1854">
        <v>1</v>
      </c>
      <c r="AY34" s="131"/>
      <c r="AZ34" s="1876">
        <f>AVERAGE(AZ16:AZ33)</f>
        <v>0.48235294117647054</v>
      </c>
      <c r="BA34" s="131"/>
      <c r="BB34" s="1876">
        <f>AVERAGE(BB16:BB33)</f>
        <v>0.3494708994708995</v>
      </c>
      <c r="BC34" s="131"/>
      <c r="BD34" s="131"/>
      <c r="BE34" s="131"/>
      <c r="BF34" s="131"/>
      <c r="BG34" s="131"/>
      <c r="BH34" s="1854">
        <v>1</v>
      </c>
      <c r="BI34" s="131"/>
      <c r="BJ34" s="2931">
        <f>AVERAGE(BJ16:BJ33)</f>
        <v>0.6536458333333333</v>
      </c>
      <c r="BK34" s="131"/>
      <c r="BL34" s="2507">
        <f>AVERAGE(BL16:BL33)</f>
        <v>0.4636554621848739</v>
      </c>
      <c r="BM34" s="131"/>
      <c r="BN34" s="131"/>
      <c r="BO34" s="131"/>
      <c r="BP34" s="131"/>
    </row>
    <row r="35" spans="1:68" s="34" customFormat="1" ht="20.1" customHeight="1" thickBot="1">
      <c r="A35" s="2660" t="s">
        <v>290</v>
      </c>
      <c r="B35" s="2661"/>
      <c r="C35" s="2661"/>
      <c r="D35" s="2662"/>
      <c r="E35" s="219"/>
      <c r="F35" s="219"/>
      <c r="G35" s="219"/>
      <c r="H35" s="220"/>
      <c r="I35" s="220"/>
      <c r="J35" s="220"/>
      <c r="K35" s="220"/>
      <c r="L35" s="220"/>
      <c r="M35" s="220"/>
      <c r="N35" s="220"/>
      <c r="O35" s="220"/>
      <c r="P35" s="220"/>
      <c r="Q35" s="220"/>
      <c r="R35" s="220"/>
      <c r="S35" s="220"/>
      <c r="T35" s="220"/>
      <c r="U35" s="220"/>
      <c r="V35" s="220"/>
      <c r="W35" s="220"/>
      <c r="X35" s="220"/>
      <c r="Y35" s="222"/>
      <c r="Z35" s="223">
        <f>Z34</f>
        <v>142000000</v>
      </c>
      <c r="AA35" s="224"/>
      <c r="AB35" s="225"/>
      <c r="AC35" s="1312" t="s">
        <v>1090</v>
      </c>
      <c r="AD35" s="1513"/>
      <c r="AE35" s="1312" t="s">
        <v>1090</v>
      </c>
      <c r="AF35" s="1312"/>
      <c r="AG35" s="1342">
        <f>AVERAGE(AG34)</f>
        <v>0</v>
      </c>
      <c r="AH35" s="298" t="e">
        <f>AVERAGE(AH34)</f>
        <v>#DIV/0!</v>
      </c>
      <c r="AI35" s="298">
        <f>SUM(AI34)</f>
        <v>0</v>
      </c>
      <c r="AJ35" s="225"/>
      <c r="AK35" s="225"/>
      <c r="AL35" s="225"/>
      <c r="AM35" s="225"/>
      <c r="AN35" s="1342">
        <f>AVERAGE(AN34)</f>
        <v>1</v>
      </c>
      <c r="AO35" s="225"/>
      <c r="AP35" s="1342">
        <f>AVERAGE(AP34)</f>
        <v>0.375</v>
      </c>
      <c r="AQ35" s="1649"/>
      <c r="AR35" s="1342">
        <f>AVERAGE(AR34)</f>
        <v>0.25</v>
      </c>
      <c r="AS35" s="225"/>
      <c r="AT35" s="225"/>
      <c r="AU35" s="225"/>
      <c r="AV35" s="225"/>
      <c r="AW35" s="225"/>
      <c r="AX35" s="1312">
        <v>1</v>
      </c>
      <c r="AY35" s="225"/>
      <c r="AZ35" s="1342">
        <f>AVERAGE(AZ34)</f>
        <v>0.48235294117647054</v>
      </c>
      <c r="BA35" s="225"/>
      <c r="BB35" s="1342">
        <f>AVERAGE(BB34)</f>
        <v>0.3494708994708995</v>
      </c>
      <c r="BC35" s="225"/>
      <c r="BD35" s="1991"/>
      <c r="BE35" s="1991"/>
      <c r="BF35" s="1991"/>
      <c r="BG35" s="2326"/>
      <c r="BH35" s="1312">
        <v>1</v>
      </c>
      <c r="BI35" s="2326"/>
      <c r="BJ35" s="1342">
        <f>AVERAGE(BJ34)</f>
        <v>0.6536458333333333</v>
      </c>
      <c r="BK35" s="2326"/>
      <c r="BL35" s="2320">
        <f>AVERAGE(BL34)</f>
        <v>0.4636554621848739</v>
      </c>
      <c r="BM35" s="2326"/>
      <c r="BN35" s="2326"/>
      <c r="BO35" s="2326"/>
      <c r="BP35" s="2326"/>
    </row>
    <row r="36" spans="2:38" s="13" customFormat="1" ht="9.95" customHeight="1" thickBot="1">
      <c r="B36" s="14"/>
      <c r="F36" s="243"/>
      <c r="I36" s="244"/>
      <c r="K36" s="245"/>
      <c r="L36" s="245"/>
      <c r="Y36" s="246"/>
      <c r="Z36" s="274"/>
      <c r="AB36" s="248"/>
      <c r="AC36" s="1307"/>
      <c r="AD36" s="1506"/>
      <c r="AE36" s="1307"/>
      <c r="AF36" s="1307"/>
      <c r="AG36" s="1340"/>
      <c r="AH36" s="248"/>
      <c r="AI36" s="248"/>
      <c r="AJ36" s="248"/>
      <c r="AK36" s="248"/>
      <c r="AL36" s="248"/>
    </row>
    <row r="37" spans="1:68" s="4" customFormat="1" ht="21" customHeight="1" thickBot="1">
      <c r="A37" s="2645" t="s">
        <v>9</v>
      </c>
      <c r="B37" s="2646"/>
      <c r="C37" s="2646"/>
      <c r="D37" s="2647"/>
      <c r="E37" s="2648" t="s">
        <v>10</v>
      </c>
      <c r="F37" s="2649"/>
      <c r="G37" s="2649"/>
      <c r="H37" s="2649"/>
      <c r="I37" s="2649"/>
      <c r="J37" s="2649"/>
      <c r="K37" s="2649"/>
      <c r="L37" s="2649"/>
      <c r="M37" s="2649"/>
      <c r="N37" s="2649"/>
      <c r="O37" s="2649"/>
      <c r="P37" s="2649"/>
      <c r="Q37" s="2649"/>
      <c r="R37" s="2649"/>
      <c r="S37" s="2649"/>
      <c r="T37" s="2649"/>
      <c r="U37" s="2649"/>
      <c r="V37" s="2649"/>
      <c r="W37" s="2649"/>
      <c r="X37" s="2649"/>
      <c r="Y37" s="2649"/>
      <c r="Z37" s="2649"/>
      <c r="AA37" s="2650"/>
      <c r="AB37" s="2651" t="s">
        <v>10</v>
      </c>
      <c r="AC37" s="2651"/>
      <c r="AD37" s="2651"/>
      <c r="AE37" s="2651"/>
      <c r="AF37" s="2651"/>
      <c r="AG37" s="2651"/>
      <c r="AH37" s="2651"/>
      <c r="AI37" s="2651"/>
      <c r="AJ37" s="2651"/>
      <c r="AK37" s="2651"/>
      <c r="AL37" s="2651"/>
      <c r="AM37" s="2651" t="s">
        <v>10</v>
      </c>
      <c r="AN37" s="2651"/>
      <c r="AO37" s="2651"/>
      <c r="AP37" s="2651"/>
      <c r="AQ37" s="2651"/>
      <c r="AR37" s="2651"/>
      <c r="AS37" s="2651"/>
      <c r="AT37" s="2651"/>
      <c r="AU37" s="2651"/>
      <c r="AV37" s="2651"/>
      <c r="AW37" s="2648" t="s">
        <v>10</v>
      </c>
      <c r="AX37" s="2649"/>
      <c r="AY37" s="2649"/>
      <c r="AZ37" s="2649"/>
      <c r="BA37" s="2649"/>
      <c r="BB37" s="2649"/>
      <c r="BC37" s="2649"/>
      <c r="BD37" s="2649"/>
      <c r="BE37" s="2649"/>
      <c r="BF37" s="2650"/>
      <c r="BG37" s="2648" t="s">
        <v>10</v>
      </c>
      <c r="BH37" s="2649"/>
      <c r="BI37" s="2649"/>
      <c r="BJ37" s="2649"/>
      <c r="BK37" s="2649"/>
      <c r="BL37" s="2649"/>
      <c r="BM37" s="2649"/>
      <c r="BN37" s="2649"/>
      <c r="BO37" s="2649"/>
      <c r="BP37" s="2650"/>
    </row>
    <row r="38" spans="2:38" s="13" customFormat="1" ht="9.95" customHeight="1" thickBot="1">
      <c r="B38" s="14"/>
      <c r="E38" s="299"/>
      <c r="F38" s="300"/>
      <c r="G38" s="299"/>
      <c r="I38" s="244"/>
      <c r="K38" s="245"/>
      <c r="L38" s="245"/>
      <c r="Y38" s="246"/>
      <c r="Z38" s="274"/>
      <c r="AB38" s="248"/>
      <c r="AC38" s="1307"/>
      <c r="AD38" s="1506"/>
      <c r="AE38" s="1307"/>
      <c r="AF38" s="1307"/>
      <c r="AG38" s="1340"/>
      <c r="AH38" s="248"/>
      <c r="AI38" s="248"/>
      <c r="AJ38" s="248"/>
      <c r="AK38" s="248"/>
      <c r="AL38" s="248"/>
    </row>
    <row r="39" spans="1:68" s="49" customFormat="1" ht="64.5" thickBot="1">
      <c r="A39" s="2671">
        <v>1</v>
      </c>
      <c r="B39" s="2671" t="s">
        <v>131</v>
      </c>
      <c r="C39" s="2703" t="s">
        <v>503</v>
      </c>
      <c r="D39" s="213" t="s">
        <v>504</v>
      </c>
      <c r="E39" s="38" t="s">
        <v>72</v>
      </c>
      <c r="F39" s="111" t="s">
        <v>100</v>
      </c>
      <c r="G39" s="208" t="s">
        <v>73</v>
      </c>
      <c r="H39" s="65" t="s">
        <v>624</v>
      </c>
      <c r="I39" s="106">
        <f>100%/6</f>
        <v>0.16666666666666666</v>
      </c>
      <c r="J39" s="42" t="s">
        <v>134</v>
      </c>
      <c r="K39" s="43">
        <v>42005</v>
      </c>
      <c r="L39" s="43">
        <v>42369</v>
      </c>
      <c r="M39" s="44"/>
      <c r="N39" s="44"/>
      <c r="O39" s="44"/>
      <c r="P39" s="44"/>
      <c r="Q39" s="44"/>
      <c r="R39" s="44"/>
      <c r="S39" s="44"/>
      <c r="T39" s="44"/>
      <c r="U39" s="44"/>
      <c r="V39" s="44"/>
      <c r="W39" s="44"/>
      <c r="X39" s="44"/>
      <c r="Y39" s="45" t="s">
        <v>100</v>
      </c>
      <c r="Z39" s="46">
        <v>0</v>
      </c>
      <c r="AA39" s="209" t="s">
        <v>1090</v>
      </c>
      <c r="AB39" s="98">
        <f aca="true" t="shared" si="15" ref="AB39:AB46">SUM(M39:N39)</f>
        <v>0</v>
      </c>
      <c r="AC39" s="1311">
        <f aca="true" t="shared" si="16" ref="AC39:AC46">IF(AB39=0,0%,100%)</f>
        <v>0</v>
      </c>
      <c r="AD39" s="1509">
        <v>0</v>
      </c>
      <c r="AE39" s="1311" t="s">
        <v>1090</v>
      </c>
      <c r="AF39" s="1311" t="s">
        <v>1090</v>
      </c>
      <c r="AG39" s="1371" t="str">
        <f>AF39</f>
        <v>-</v>
      </c>
      <c r="AH39" s="99"/>
      <c r="AI39" s="98"/>
      <c r="AJ39" s="98"/>
      <c r="AK39" s="1326" t="s">
        <v>2009</v>
      </c>
      <c r="AL39" s="1326"/>
      <c r="AM39" s="1692">
        <f>SUM(M39:P39)</f>
        <v>0</v>
      </c>
      <c r="AN39" s="1699">
        <f aca="true" t="shared" si="17" ref="AN39:AN46">IF(AM39=0,0%,100%)</f>
        <v>0</v>
      </c>
      <c r="AO39" s="1692">
        <v>0</v>
      </c>
      <c r="AP39" s="1699" t="s">
        <v>1090</v>
      </c>
      <c r="AQ39" s="1699" t="s">
        <v>1090</v>
      </c>
      <c r="AR39" s="1699" t="str">
        <f aca="true" t="shared" si="18" ref="AR39:AR46">IF(AN39&gt;0,AP39,"-")</f>
        <v>-</v>
      </c>
      <c r="AS39" s="1743">
        <v>0</v>
      </c>
      <c r="AT39" s="1692"/>
      <c r="AU39" s="1692" t="s">
        <v>2265</v>
      </c>
      <c r="AV39" s="1692" t="s">
        <v>2268</v>
      </c>
      <c r="AW39" s="2200">
        <f aca="true" t="shared" si="19" ref="AW39:AW46">SUM(M39:R39)</f>
        <v>0</v>
      </c>
      <c r="AX39" s="2201">
        <f aca="true" t="shared" si="20" ref="AX39:AX46">IF(AW39=0,0%,100%)</f>
        <v>0</v>
      </c>
      <c r="AY39" s="2200" t="s">
        <v>1090</v>
      </c>
      <c r="AZ39" s="2201" t="s">
        <v>1090</v>
      </c>
      <c r="BA39" s="2201" t="s">
        <v>1090</v>
      </c>
      <c r="BB39" s="2201" t="s">
        <v>1090</v>
      </c>
      <c r="BC39" s="2202">
        <v>0</v>
      </c>
      <c r="BD39" s="2201">
        <v>0</v>
      </c>
      <c r="BE39" s="101" t="s">
        <v>2711</v>
      </c>
      <c r="BF39" s="101"/>
      <c r="BG39" s="2405">
        <f>SUM(M39:T39)</f>
        <v>0</v>
      </c>
      <c r="BH39" s="2406">
        <f aca="true" t="shared" si="21" ref="BH39:BH46">IF(BG39=0,0%,100%)</f>
        <v>0</v>
      </c>
      <c r="BI39" s="2405" t="s">
        <v>1090</v>
      </c>
      <c r="BJ39" s="2406" t="s">
        <v>1090</v>
      </c>
      <c r="BK39" s="2406"/>
      <c r="BL39" s="2406" t="s">
        <v>1090</v>
      </c>
      <c r="BM39" s="2407"/>
      <c r="BN39" s="2406"/>
      <c r="BO39" s="2408" t="s">
        <v>3148</v>
      </c>
      <c r="BP39" s="2408"/>
    </row>
    <row r="40" spans="1:68" s="49" customFormat="1" ht="51.75" thickBot="1">
      <c r="A40" s="2672"/>
      <c r="B40" s="2672"/>
      <c r="C40" s="2704"/>
      <c r="D40" s="107" t="s">
        <v>135</v>
      </c>
      <c r="E40" s="216" t="s">
        <v>136</v>
      </c>
      <c r="F40" s="215">
        <v>4</v>
      </c>
      <c r="G40" s="216" t="s">
        <v>137</v>
      </c>
      <c r="H40" s="65" t="s">
        <v>624</v>
      </c>
      <c r="I40" s="106">
        <f aca="true" t="shared" si="22" ref="I40:I44">100%/6</f>
        <v>0.16666666666666666</v>
      </c>
      <c r="J40" s="55" t="s">
        <v>138</v>
      </c>
      <c r="K40" s="56">
        <v>42005</v>
      </c>
      <c r="L40" s="56">
        <v>42369</v>
      </c>
      <c r="M40" s="57"/>
      <c r="N40" s="57"/>
      <c r="O40" s="57">
        <v>1</v>
      </c>
      <c r="P40" s="57"/>
      <c r="Q40" s="57"/>
      <c r="R40" s="57">
        <v>1</v>
      </c>
      <c r="S40" s="57"/>
      <c r="T40" s="57"/>
      <c r="U40" s="57">
        <v>1</v>
      </c>
      <c r="V40" s="57"/>
      <c r="W40" s="57"/>
      <c r="X40" s="57">
        <v>1</v>
      </c>
      <c r="Y40" s="276">
        <f>+SUM(M40:X40)</f>
        <v>4</v>
      </c>
      <c r="Z40" s="46">
        <v>0</v>
      </c>
      <c r="AA40" s="209" t="s">
        <v>1090</v>
      </c>
      <c r="AB40" s="98">
        <f t="shared" si="15"/>
        <v>0</v>
      </c>
      <c r="AC40" s="1311">
        <f t="shared" si="16"/>
        <v>0</v>
      </c>
      <c r="AD40" s="1509">
        <v>0</v>
      </c>
      <c r="AE40" s="1311" t="s">
        <v>1090</v>
      </c>
      <c r="AF40" s="1311">
        <f aca="true" t="shared" si="23" ref="AF40:AF44">AD40/Y40</f>
        <v>0</v>
      </c>
      <c r="AG40" s="1371">
        <f aca="true" t="shared" si="24" ref="AG40:AG44">AF40</f>
        <v>0</v>
      </c>
      <c r="AH40" s="99"/>
      <c r="AI40" s="98"/>
      <c r="AJ40" s="98"/>
      <c r="AK40" s="1326" t="s">
        <v>1950</v>
      </c>
      <c r="AL40" s="1326"/>
      <c r="AM40" s="1692">
        <f aca="true" t="shared" si="25" ref="AM40:AM44">SUM(M40:P40)</f>
        <v>1</v>
      </c>
      <c r="AN40" s="1699">
        <f t="shared" si="17"/>
        <v>1</v>
      </c>
      <c r="AO40" s="1692">
        <v>0</v>
      </c>
      <c r="AP40" s="1699">
        <f aca="true" t="shared" si="26" ref="AP40:AP44">AO40/AM40</f>
        <v>0</v>
      </c>
      <c r="AQ40" s="1699">
        <f aca="true" t="shared" si="27" ref="AQ40:AQ44">AO40/Y40</f>
        <v>0</v>
      </c>
      <c r="AR40" s="1699">
        <f t="shared" si="18"/>
        <v>0</v>
      </c>
      <c r="AS40" s="1743">
        <v>0</v>
      </c>
      <c r="AT40" s="1692"/>
      <c r="AU40" s="1692" t="s">
        <v>2266</v>
      </c>
      <c r="AV40" s="1692"/>
      <c r="AW40" s="2200">
        <f t="shared" si="19"/>
        <v>2</v>
      </c>
      <c r="AX40" s="2201">
        <f t="shared" si="20"/>
        <v>1</v>
      </c>
      <c r="AY40" s="2200">
        <v>0</v>
      </c>
      <c r="AZ40" s="2201">
        <v>0</v>
      </c>
      <c r="BA40" s="2201">
        <v>0</v>
      </c>
      <c r="BB40" s="2201">
        <v>0</v>
      </c>
      <c r="BC40" s="2202">
        <v>0</v>
      </c>
      <c r="BD40" s="2201">
        <v>0</v>
      </c>
      <c r="BE40" s="101" t="s">
        <v>2266</v>
      </c>
      <c r="BF40" s="101"/>
      <c r="BG40" s="2405">
        <f aca="true" t="shared" si="28" ref="BG40:BG44">SUM(M40:T40)</f>
        <v>2</v>
      </c>
      <c r="BH40" s="2406">
        <f t="shared" si="21"/>
        <v>1</v>
      </c>
      <c r="BI40" s="2405">
        <v>1</v>
      </c>
      <c r="BJ40" s="2406">
        <v>0.5</v>
      </c>
      <c r="BK40" s="2406"/>
      <c r="BL40" s="2406">
        <f>BI40/Y40</f>
        <v>0.25</v>
      </c>
      <c r="BM40" s="2407"/>
      <c r="BN40" s="2406"/>
      <c r="BO40" s="2408" t="s">
        <v>3148</v>
      </c>
      <c r="BP40" s="2408"/>
    </row>
    <row r="41" spans="1:68" s="49" customFormat="1" ht="39" thickBot="1">
      <c r="A41" s="2672"/>
      <c r="B41" s="2672"/>
      <c r="C41" s="2703" t="s">
        <v>507</v>
      </c>
      <c r="D41" s="94" t="s">
        <v>151</v>
      </c>
      <c r="E41" s="78" t="s">
        <v>152</v>
      </c>
      <c r="F41" s="102">
        <v>12</v>
      </c>
      <c r="G41" s="78" t="s">
        <v>153</v>
      </c>
      <c r="H41" s="65" t="s">
        <v>624</v>
      </c>
      <c r="I41" s="106">
        <f t="shared" si="22"/>
        <v>0.16666666666666666</v>
      </c>
      <c r="J41" s="65" t="s">
        <v>154</v>
      </c>
      <c r="K41" s="56">
        <v>42006</v>
      </c>
      <c r="L41" s="67">
        <v>42369</v>
      </c>
      <c r="M41" s="57">
        <v>1</v>
      </c>
      <c r="N41" s="57">
        <v>1</v>
      </c>
      <c r="O41" s="57">
        <v>1</v>
      </c>
      <c r="P41" s="57">
        <v>1</v>
      </c>
      <c r="Q41" s="57">
        <v>1</v>
      </c>
      <c r="R41" s="57">
        <v>1</v>
      </c>
      <c r="S41" s="57">
        <v>1</v>
      </c>
      <c r="T41" s="57">
        <v>1</v>
      </c>
      <c r="U41" s="57">
        <v>1</v>
      </c>
      <c r="V41" s="57">
        <v>1</v>
      </c>
      <c r="W41" s="57">
        <v>1</v>
      </c>
      <c r="X41" s="57">
        <v>1</v>
      </c>
      <c r="Y41" s="276">
        <f>+SUM(M41:X41)</f>
        <v>12</v>
      </c>
      <c r="Z41" s="46">
        <v>0</v>
      </c>
      <c r="AA41" s="209" t="s">
        <v>1090</v>
      </c>
      <c r="AB41" s="98">
        <f t="shared" si="15"/>
        <v>2</v>
      </c>
      <c r="AC41" s="1311">
        <f t="shared" si="16"/>
        <v>1</v>
      </c>
      <c r="AD41" s="1509">
        <v>2</v>
      </c>
      <c r="AE41" s="1311">
        <f aca="true" t="shared" si="29" ref="AE41:AE42">AD41/AB41</f>
        <v>1</v>
      </c>
      <c r="AF41" s="1311">
        <f t="shared" si="23"/>
        <v>0.16666666666666666</v>
      </c>
      <c r="AG41" s="1371">
        <f t="shared" si="24"/>
        <v>0.16666666666666666</v>
      </c>
      <c r="AH41" s="99"/>
      <c r="AI41" s="98"/>
      <c r="AJ41" s="98"/>
      <c r="AK41" s="1326" t="s">
        <v>1951</v>
      </c>
      <c r="AL41" s="1326"/>
      <c r="AM41" s="1692">
        <f t="shared" si="25"/>
        <v>4</v>
      </c>
      <c r="AN41" s="1699">
        <f t="shared" si="17"/>
        <v>1</v>
      </c>
      <c r="AO41" s="1692">
        <v>1</v>
      </c>
      <c r="AP41" s="1699">
        <f t="shared" si="26"/>
        <v>0.25</v>
      </c>
      <c r="AQ41" s="1699">
        <f t="shared" si="27"/>
        <v>0.08333333333333333</v>
      </c>
      <c r="AR41" s="1699">
        <f t="shared" si="18"/>
        <v>0.25</v>
      </c>
      <c r="AS41" s="1743">
        <v>0</v>
      </c>
      <c r="AT41" s="1692"/>
      <c r="AU41" s="1692" t="s">
        <v>1951</v>
      </c>
      <c r="AV41" s="1692"/>
      <c r="AW41" s="2200">
        <f t="shared" si="19"/>
        <v>6</v>
      </c>
      <c r="AX41" s="2201">
        <f t="shared" si="20"/>
        <v>1</v>
      </c>
      <c r="AY41" s="2200">
        <v>6</v>
      </c>
      <c r="AZ41" s="2201">
        <v>1</v>
      </c>
      <c r="BA41" s="2201">
        <v>0.5</v>
      </c>
      <c r="BB41" s="2201">
        <v>0.5</v>
      </c>
      <c r="BC41" s="2202">
        <v>0</v>
      </c>
      <c r="BD41" s="2201">
        <v>0</v>
      </c>
      <c r="BE41" s="101" t="s">
        <v>2712</v>
      </c>
      <c r="BF41" s="101"/>
      <c r="BG41" s="2405">
        <f t="shared" si="28"/>
        <v>8</v>
      </c>
      <c r="BH41" s="2406">
        <f t="shared" si="21"/>
        <v>1</v>
      </c>
      <c r="BI41" s="2405">
        <v>8</v>
      </c>
      <c r="BJ41" s="2406">
        <v>1</v>
      </c>
      <c r="BK41" s="2406"/>
      <c r="BL41" s="2406">
        <f>BI41/Y41</f>
        <v>0.6666666666666666</v>
      </c>
      <c r="BM41" s="2407"/>
      <c r="BN41" s="2406"/>
      <c r="BO41" s="2408" t="s">
        <v>3149</v>
      </c>
      <c r="BP41" s="2408"/>
    </row>
    <row r="42" spans="1:68" s="49" customFormat="1" ht="77.25" thickBot="1">
      <c r="A42" s="2672"/>
      <c r="B42" s="2672"/>
      <c r="C42" s="2704"/>
      <c r="D42" s="94" t="s">
        <v>155</v>
      </c>
      <c r="E42" s="78" t="s">
        <v>152</v>
      </c>
      <c r="F42" s="102">
        <v>12</v>
      </c>
      <c r="G42" s="78" t="s">
        <v>153</v>
      </c>
      <c r="H42" s="65" t="s">
        <v>624</v>
      </c>
      <c r="I42" s="106">
        <f t="shared" si="22"/>
        <v>0.16666666666666666</v>
      </c>
      <c r="J42" s="65" t="s">
        <v>154</v>
      </c>
      <c r="K42" s="56">
        <v>42006</v>
      </c>
      <c r="L42" s="67">
        <v>42369</v>
      </c>
      <c r="M42" s="57">
        <v>1</v>
      </c>
      <c r="N42" s="57">
        <v>1</v>
      </c>
      <c r="O42" s="57">
        <v>1</v>
      </c>
      <c r="P42" s="57">
        <v>1</v>
      </c>
      <c r="Q42" s="57">
        <v>1</v>
      </c>
      <c r="R42" s="57">
        <v>1</v>
      </c>
      <c r="S42" s="57">
        <v>1</v>
      </c>
      <c r="T42" s="57">
        <v>1</v>
      </c>
      <c r="U42" s="57">
        <v>1</v>
      </c>
      <c r="V42" s="57">
        <v>1</v>
      </c>
      <c r="W42" s="57">
        <v>1</v>
      </c>
      <c r="X42" s="57">
        <v>1</v>
      </c>
      <c r="Y42" s="276">
        <f>+SUM(M42:X42)</f>
        <v>12</v>
      </c>
      <c r="Z42" s="46">
        <v>0</v>
      </c>
      <c r="AA42" s="209" t="s">
        <v>1090</v>
      </c>
      <c r="AB42" s="98">
        <f t="shared" si="15"/>
        <v>2</v>
      </c>
      <c r="AC42" s="1311">
        <f t="shared" si="16"/>
        <v>1</v>
      </c>
      <c r="AD42" s="1509">
        <v>2</v>
      </c>
      <c r="AE42" s="1311">
        <f t="shared" si="29"/>
        <v>1</v>
      </c>
      <c r="AF42" s="1311">
        <f t="shared" si="23"/>
        <v>0.16666666666666666</v>
      </c>
      <c r="AG42" s="1371">
        <f t="shared" si="24"/>
        <v>0.16666666666666666</v>
      </c>
      <c r="AH42" s="99"/>
      <c r="AI42" s="98"/>
      <c r="AJ42" s="98"/>
      <c r="AK42" s="1326" t="s">
        <v>1951</v>
      </c>
      <c r="AL42" s="1326"/>
      <c r="AM42" s="1692">
        <f t="shared" si="25"/>
        <v>4</v>
      </c>
      <c r="AN42" s="1699">
        <f t="shared" si="17"/>
        <v>1</v>
      </c>
      <c r="AO42" s="1692">
        <v>2</v>
      </c>
      <c r="AP42" s="1699">
        <f t="shared" si="26"/>
        <v>0.5</v>
      </c>
      <c r="AQ42" s="1699">
        <f t="shared" si="27"/>
        <v>0.16666666666666666</v>
      </c>
      <c r="AR42" s="1699">
        <f t="shared" si="18"/>
        <v>0.5</v>
      </c>
      <c r="AS42" s="1743">
        <v>0</v>
      </c>
      <c r="AT42" s="1692"/>
      <c r="AU42" s="1692" t="s">
        <v>1951</v>
      </c>
      <c r="AV42" s="1692"/>
      <c r="AW42" s="2200">
        <f t="shared" si="19"/>
        <v>6</v>
      </c>
      <c r="AX42" s="2201">
        <f t="shared" si="20"/>
        <v>1</v>
      </c>
      <c r="AY42" s="2200">
        <v>6</v>
      </c>
      <c r="AZ42" s="2201">
        <v>1</v>
      </c>
      <c r="BA42" s="2201">
        <v>0.5</v>
      </c>
      <c r="BB42" s="2201">
        <v>0.5</v>
      </c>
      <c r="BC42" s="2202">
        <v>0</v>
      </c>
      <c r="BD42" s="2201">
        <v>0</v>
      </c>
      <c r="BE42" s="101" t="s">
        <v>2713</v>
      </c>
      <c r="BF42" s="101"/>
      <c r="BG42" s="2405">
        <f t="shared" si="28"/>
        <v>8</v>
      </c>
      <c r="BH42" s="2406">
        <f t="shared" si="21"/>
        <v>1</v>
      </c>
      <c r="BI42" s="2405">
        <v>8</v>
      </c>
      <c r="BJ42" s="2406">
        <v>1</v>
      </c>
      <c r="BK42" s="2406"/>
      <c r="BL42" s="2406">
        <f>BI42/Y42</f>
        <v>0.6666666666666666</v>
      </c>
      <c r="BM42" s="2407"/>
      <c r="BN42" s="2406"/>
      <c r="BO42" s="2408"/>
      <c r="BP42" s="2408" t="s">
        <v>3150</v>
      </c>
    </row>
    <row r="43" spans="1:68" s="49" customFormat="1" ht="102.75" thickBot="1">
      <c r="A43" s="2672"/>
      <c r="B43" s="2672"/>
      <c r="C43" s="2704"/>
      <c r="D43" s="94" t="s">
        <v>508</v>
      </c>
      <c r="E43" s="78" t="s">
        <v>157</v>
      </c>
      <c r="F43" s="102" t="s">
        <v>140</v>
      </c>
      <c r="G43" s="78" t="s">
        <v>141</v>
      </c>
      <c r="H43" s="65" t="s">
        <v>624</v>
      </c>
      <c r="I43" s="106">
        <f t="shared" si="22"/>
        <v>0.16666666666666666</v>
      </c>
      <c r="J43" s="65" t="s">
        <v>158</v>
      </c>
      <c r="K43" s="56">
        <v>42006</v>
      </c>
      <c r="L43" s="67">
        <v>42369</v>
      </c>
      <c r="M43" s="57"/>
      <c r="N43" s="57"/>
      <c r="O43" s="57"/>
      <c r="P43" s="57"/>
      <c r="Q43" s="57"/>
      <c r="R43" s="57"/>
      <c r="S43" s="57"/>
      <c r="T43" s="57"/>
      <c r="U43" s="57"/>
      <c r="V43" s="57"/>
      <c r="W43" s="57"/>
      <c r="X43" s="57"/>
      <c r="Y43" s="45" t="s">
        <v>140</v>
      </c>
      <c r="Z43" s="46">
        <v>0</v>
      </c>
      <c r="AA43" s="209" t="s">
        <v>1090</v>
      </c>
      <c r="AB43" s="98">
        <f t="shared" si="15"/>
        <v>0</v>
      </c>
      <c r="AC43" s="1311">
        <f t="shared" si="16"/>
        <v>0</v>
      </c>
      <c r="AD43" s="1509">
        <v>0</v>
      </c>
      <c r="AE43" s="1311" t="s">
        <v>1090</v>
      </c>
      <c r="AF43" s="1311" t="s">
        <v>1090</v>
      </c>
      <c r="AG43" s="1371" t="str">
        <f t="shared" si="24"/>
        <v>-</v>
      </c>
      <c r="AH43" s="99"/>
      <c r="AI43" s="98"/>
      <c r="AJ43" s="98"/>
      <c r="AK43" s="1326" t="s">
        <v>1951</v>
      </c>
      <c r="AL43" s="1326"/>
      <c r="AM43" s="1692">
        <f t="shared" si="25"/>
        <v>0</v>
      </c>
      <c r="AN43" s="1699">
        <f t="shared" si="17"/>
        <v>0</v>
      </c>
      <c r="AO43" s="1692">
        <v>0</v>
      </c>
      <c r="AP43" s="1699" t="s">
        <v>1090</v>
      </c>
      <c r="AQ43" s="1699" t="s">
        <v>1090</v>
      </c>
      <c r="AR43" s="1699" t="str">
        <f t="shared" si="18"/>
        <v>-</v>
      </c>
      <c r="AS43" s="1743">
        <v>0</v>
      </c>
      <c r="AT43" s="1692"/>
      <c r="AU43" s="1692" t="s">
        <v>1951</v>
      </c>
      <c r="AV43" s="1692"/>
      <c r="AW43" s="2200">
        <f t="shared" si="19"/>
        <v>0</v>
      </c>
      <c r="AX43" s="2201">
        <f t="shared" si="20"/>
        <v>0</v>
      </c>
      <c r="AY43" s="2200" t="s">
        <v>1090</v>
      </c>
      <c r="AZ43" s="2201" t="s">
        <v>1090</v>
      </c>
      <c r="BA43" s="2201" t="s">
        <v>1090</v>
      </c>
      <c r="BB43" s="2201" t="s">
        <v>1090</v>
      </c>
      <c r="BC43" s="2202">
        <v>0</v>
      </c>
      <c r="BD43" s="2201">
        <v>0</v>
      </c>
      <c r="BE43" s="101" t="s">
        <v>2714</v>
      </c>
      <c r="BF43" s="101"/>
      <c r="BG43" s="2405">
        <f t="shared" si="28"/>
        <v>0</v>
      </c>
      <c r="BH43" s="2406">
        <f t="shared" si="21"/>
        <v>0</v>
      </c>
      <c r="BI43" s="2405" t="s">
        <v>1090</v>
      </c>
      <c r="BJ43" s="2406" t="s">
        <v>1090</v>
      </c>
      <c r="BK43" s="2406"/>
      <c r="BL43" s="2406" t="s">
        <v>1090</v>
      </c>
      <c r="BM43" s="2407"/>
      <c r="BN43" s="2406"/>
      <c r="BO43" s="2408" t="s">
        <v>3151</v>
      </c>
      <c r="BP43" s="2408"/>
    </row>
    <row r="44" spans="1:68" s="49" customFormat="1" ht="78" customHeight="1" thickBot="1">
      <c r="A44" s="2774"/>
      <c r="B44" s="2774"/>
      <c r="C44" s="2731"/>
      <c r="D44" s="94" t="s">
        <v>147</v>
      </c>
      <c r="E44" s="77" t="s">
        <v>54</v>
      </c>
      <c r="F44" s="77">
        <v>4</v>
      </c>
      <c r="G44" s="77" t="s">
        <v>625</v>
      </c>
      <c r="H44" s="65" t="s">
        <v>624</v>
      </c>
      <c r="I44" s="106">
        <f t="shared" si="22"/>
        <v>0.16666666666666666</v>
      </c>
      <c r="J44" s="65" t="s">
        <v>626</v>
      </c>
      <c r="K44" s="67">
        <v>42005</v>
      </c>
      <c r="L44" s="67">
        <v>42369</v>
      </c>
      <c r="M44" s="301"/>
      <c r="N44" s="280"/>
      <c r="O44" s="280">
        <v>1</v>
      </c>
      <c r="P44" s="280"/>
      <c r="Q44" s="280"/>
      <c r="R44" s="280">
        <v>1</v>
      </c>
      <c r="S44" s="280"/>
      <c r="T44" s="281"/>
      <c r="U44" s="282">
        <v>1</v>
      </c>
      <c r="V44" s="115"/>
      <c r="W44" s="115"/>
      <c r="X44" s="302">
        <v>1</v>
      </c>
      <c r="Y44" s="276">
        <f>+SUM(M44:X44)</f>
        <v>4</v>
      </c>
      <c r="Z44" s="46">
        <v>0</v>
      </c>
      <c r="AA44" s="209" t="s">
        <v>1090</v>
      </c>
      <c r="AB44" s="98">
        <f t="shared" si="15"/>
        <v>0</v>
      </c>
      <c r="AC44" s="1311">
        <f t="shared" si="16"/>
        <v>0</v>
      </c>
      <c r="AD44" s="1509">
        <v>0</v>
      </c>
      <c r="AE44" s="1311" t="s">
        <v>1090</v>
      </c>
      <c r="AF44" s="1311">
        <f t="shared" si="23"/>
        <v>0</v>
      </c>
      <c r="AG44" s="1371">
        <f t="shared" si="24"/>
        <v>0</v>
      </c>
      <c r="AH44" s="99"/>
      <c r="AI44" s="98"/>
      <c r="AJ44" s="98"/>
      <c r="AK44" s="1326" t="s">
        <v>1951</v>
      </c>
      <c r="AL44" s="1326"/>
      <c r="AM44" s="1692">
        <f t="shared" si="25"/>
        <v>1</v>
      </c>
      <c r="AN44" s="1699">
        <f t="shared" si="17"/>
        <v>1</v>
      </c>
      <c r="AO44" s="1692">
        <v>0</v>
      </c>
      <c r="AP44" s="1699">
        <f t="shared" si="26"/>
        <v>0</v>
      </c>
      <c r="AQ44" s="1699">
        <f t="shared" si="27"/>
        <v>0</v>
      </c>
      <c r="AR44" s="1699">
        <f t="shared" si="18"/>
        <v>0</v>
      </c>
      <c r="AS44" s="1743">
        <v>0</v>
      </c>
      <c r="AT44" s="1692"/>
      <c r="AU44" s="1692" t="s">
        <v>2267</v>
      </c>
      <c r="AV44" s="1692"/>
      <c r="AW44" s="2200">
        <f t="shared" si="19"/>
        <v>2</v>
      </c>
      <c r="AX44" s="2201">
        <f t="shared" si="20"/>
        <v>1</v>
      </c>
      <c r="AY44" s="2200">
        <v>2</v>
      </c>
      <c r="AZ44" s="2201">
        <v>1</v>
      </c>
      <c r="BA44" s="2201">
        <v>0.5</v>
      </c>
      <c r="BB44" s="2201">
        <v>0.5</v>
      </c>
      <c r="BC44" s="2202">
        <v>0</v>
      </c>
      <c r="BD44" s="2201">
        <v>0</v>
      </c>
      <c r="BE44" s="101" t="s">
        <v>2267</v>
      </c>
      <c r="BF44" s="101"/>
      <c r="BG44" s="2405">
        <f t="shared" si="28"/>
        <v>2</v>
      </c>
      <c r="BH44" s="2406">
        <f t="shared" si="21"/>
        <v>1</v>
      </c>
      <c r="BI44" s="2405">
        <v>3</v>
      </c>
      <c r="BJ44" s="2406">
        <v>1</v>
      </c>
      <c r="BK44" s="2406"/>
      <c r="BL44" s="2406">
        <f>BI44/Y44</f>
        <v>0.75</v>
      </c>
      <c r="BM44" s="2407"/>
      <c r="BN44" s="2406"/>
      <c r="BO44" s="2408" t="s">
        <v>3152</v>
      </c>
      <c r="BP44" s="2408"/>
    </row>
    <row r="45" spans="1:68" s="34" customFormat="1" ht="20.1" customHeight="1" thickBot="1">
      <c r="A45" s="2652" t="s">
        <v>130</v>
      </c>
      <c r="B45" s="2653"/>
      <c r="C45" s="2653"/>
      <c r="D45" s="2654"/>
      <c r="E45" s="179"/>
      <c r="F45" s="179"/>
      <c r="G45" s="179"/>
      <c r="H45" s="266"/>
      <c r="I45" s="93">
        <f>SUM(I39:I44)</f>
        <v>0.9999999999999999</v>
      </c>
      <c r="J45" s="179"/>
      <c r="K45" s="179"/>
      <c r="L45" s="179"/>
      <c r="M45" s="179"/>
      <c r="N45" s="179"/>
      <c r="O45" s="179"/>
      <c r="P45" s="179"/>
      <c r="Q45" s="179"/>
      <c r="R45" s="179"/>
      <c r="S45" s="179"/>
      <c r="T45" s="179"/>
      <c r="U45" s="179"/>
      <c r="V45" s="179"/>
      <c r="W45" s="179"/>
      <c r="X45" s="179"/>
      <c r="Y45" s="87"/>
      <c r="Z45" s="88">
        <f>SUM(Z39:Z40)</f>
        <v>0</v>
      </c>
      <c r="AA45" s="180"/>
      <c r="AB45" s="1495"/>
      <c r="AC45" s="1494">
        <f>AVERAGEIF(AC39:AC44,"&gt;0")</f>
        <v>1</v>
      </c>
      <c r="AD45" s="1511"/>
      <c r="AE45" s="1494">
        <f>AVERAGE(AE39:AE44)</f>
        <v>1</v>
      </c>
      <c r="AF45" s="1494"/>
      <c r="AG45" s="1496">
        <f>AVERAGE(AG39:AG44)</f>
        <v>0.08333333333333333</v>
      </c>
      <c r="AH45" s="1496" t="e">
        <f>AVERAGE(AH39:AH44)</f>
        <v>#DIV/0!</v>
      </c>
      <c r="AI45" s="1495">
        <f>SUM(AI39:AI44)</f>
        <v>0</v>
      </c>
      <c r="AJ45" s="1495"/>
      <c r="AK45" s="91"/>
      <c r="AL45" s="91"/>
      <c r="AM45" s="92"/>
      <c r="AN45" s="1875">
        <f>AVERAGEIF(AN39:AN44,"&gt;0")</f>
        <v>1</v>
      </c>
      <c r="AO45" s="92"/>
      <c r="AP45" s="1877">
        <f>AVERAGE(AP39:AP44)</f>
        <v>0.1875</v>
      </c>
      <c r="AQ45" s="1877"/>
      <c r="AR45" s="1875">
        <f>AVERAGE(AR39:AR44)</f>
        <v>0.1875</v>
      </c>
      <c r="AS45" s="92"/>
      <c r="AT45" s="92"/>
      <c r="AU45" s="92"/>
      <c r="AV45" s="92"/>
      <c r="AW45" s="92"/>
      <c r="AX45" s="1875">
        <v>1</v>
      </c>
      <c r="AY45" s="92"/>
      <c r="AZ45" s="1877">
        <f>AVERAGE(AZ39:AZ44)</f>
        <v>0.75</v>
      </c>
      <c r="BA45" s="92"/>
      <c r="BB45" s="1877">
        <f>AVERAGE(BB39:BB44)</f>
        <v>0.375</v>
      </c>
      <c r="BC45" s="92"/>
      <c r="BD45" s="1325"/>
      <c r="BE45" s="1325"/>
      <c r="BF45" s="1325"/>
      <c r="BG45" s="1325"/>
      <c r="BH45" s="1875">
        <v>1</v>
      </c>
      <c r="BI45" s="1325"/>
      <c r="BJ45" s="2205">
        <f>AVERAGE(BJ39:BJ44)</f>
        <v>0.875</v>
      </c>
      <c r="BK45" s="1325"/>
      <c r="BL45" s="2319">
        <f>AVERAGE(BL39:BL44)</f>
        <v>0.5833333333333333</v>
      </c>
      <c r="BM45" s="1325"/>
      <c r="BN45" s="1325"/>
      <c r="BO45" s="1325"/>
      <c r="BP45" s="1325"/>
    </row>
    <row r="46" spans="1:68" s="49" customFormat="1" ht="48" customHeight="1" thickBot="1">
      <c r="A46" s="184">
        <v>2</v>
      </c>
      <c r="B46" s="184" t="s">
        <v>228</v>
      </c>
      <c r="C46" s="183" t="s">
        <v>237</v>
      </c>
      <c r="D46" s="303" t="s">
        <v>545</v>
      </c>
      <c r="E46" s="154" t="s">
        <v>148</v>
      </c>
      <c r="F46" s="102" t="s">
        <v>149</v>
      </c>
      <c r="G46" s="78" t="s">
        <v>150</v>
      </c>
      <c r="H46" s="65" t="s">
        <v>624</v>
      </c>
      <c r="I46" s="251">
        <v>1</v>
      </c>
      <c r="J46" s="78" t="s">
        <v>260</v>
      </c>
      <c r="K46" s="155">
        <v>42006</v>
      </c>
      <c r="L46" s="56">
        <v>42369</v>
      </c>
      <c r="M46" s="156"/>
      <c r="N46" s="156"/>
      <c r="O46" s="156"/>
      <c r="P46" s="156"/>
      <c r="Q46" s="156"/>
      <c r="R46" s="156"/>
      <c r="S46" s="156"/>
      <c r="T46" s="156"/>
      <c r="U46" s="156"/>
      <c r="V46" s="156"/>
      <c r="W46" s="156"/>
      <c r="X46" s="156"/>
      <c r="Y46" s="102" t="s">
        <v>149</v>
      </c>
      <c r="Z46" s="304">
        <v>0</v>
      </c>
      <c r="AA46" s="209" t="s">
        <v>1090</v>
      </c>
      <c r="AB46" s="98">
        <f t="shared" si="15"/>
        <v>0</v>
      </c>
      <c r="AC46" s="1311">
        <f t="shared" si="16"/>
        <v>0</v>
      </c>
      <c r="AD46" s="1509">
        <v>0</v>
      </c>
      <c r="AE46" s="1311" t="s">
        <v>1090</v>
      </c>
      <c r="AF46" s="1311" t="s">
        <v>1090</v>
      </c>
      <c r="AG46" s="1371" t="str">
        <f>AF46</f>
        <v>-</v>
      </c>
      <c r="AH46" s="99"/>
      <c r="AI46" s="98"/>
      <c r="AJ46" s="98"/>
      <c r="AK46" s="1326" t="s">
        <v>1952</v>
      </c>
      <c r="AL46" s="98"/>
      <c r="AM46" s="1692">
        <f>SUM(M46:P46)</f>
        <v>0</v>
      </c>
      <c r="AN46" s="1699">
        <f t="shared" si="17"/>
        <v>0</v>
      </c>
      <c r="AO46" s="1692">
        <v>0</v>
      </c>
      <c r="AP46" s="1699" t="s">
        <v>1090</v>
      </c>
      <c r="AQ46" s="1699" t="s">
        <v>1090</v>
      </c>
      <c r="AR46" s="1699" t="str">
        <f t="shared" si="18"/>
        <v>-</v>
      </c>
      <c r="AS46" s="1743">
        <v>0</v>
      </c>
      <c r="AT46" s="1692"/>
      <c r="AU46" s="1692"/>
      <c r="AV46" s="1692"/>
      <c r="AW46" s="2200">
        <f t="shared" si="19"/>
        <v>0</v>
      </c>
      <c r="AX46" s="2201">
        <f t="shared" si="20"/>
        <v>0</v>
      </c>
      <c r="AY46" s="2200" t="s">
        <v>1090</v>
      </c>
      <c r="AZ46" s="2201" t="s">
        <v>1090</v>
      </c>
      <c r="BA46" s="2200" t="s">
        <v>1090</v>
      </c>
      <c r="BB46" s="2201" t="s">
        <v>1090</v>
      </c>
      <c r="BC46" s="2202">
        <v>0</v>
      </c>
      <c r="BD46" s="2201">
        <v>0</v>
      </c>
      <c r="BE46" s="101" t="s">
        <v>2752</v>
      </c>
      <c r="BF46" s="101"/>
      <c r="BG46" s="2405">
        <f>SUM(M46:T46)</f>
        <v>0</v>
      </c>
      <c r="BH46" s="2406">
        <f t="shared" si="21"/>
        <v>0</v>
      </c>
      <c r="BI46" s="2405" t="s">
        <v>1090</v>
      </c>
      <c r="BJ46" s="2406" t="s">
        <v>1090</v>
      </c>
      <c r="BK46" s="2405"/>
      <c r="BL46" s="2406" t="s">
        <v>1090</v>
      </c>
      <c r="BM46" s="2407"/>
      <c r="BN46" s="2406"/>
      <c r="BO46" s="2408" t="s">
        <v>3153</v>
      </c>
      <c r="BP46" s="2408"/>
    </row>
    <row r="47" spans="1:68" s="34" customFormat="1" ht="20.1" customHeight="1" thickBot="1">
      <c r="A47" s="2652" t="s">
        <v>130</v>
      </c>
      <c r="B47" s="2653"/>
      <c r="C47" s="2653"/>
      <c r="D47" s="2654"/>
      <c r="E47" s="179"/>
      <c r="F47" s="179"/>
      <c r="G47" s="179"/>
      <c r="H47" s="179"/>
      <c r="I47" s="93">
        <f>SUM(I46)</f>
        <v>1</v>
      </c>
      <c r="J47" s="179"/>
      <c r="K47" s="179"/>
      <c r="L47" s="179"/>
      <c r="M47" s="179"/>
      <c r="N47" s="179"/>
      <c r="O47" s="179"/>
      <c r="P47" s="179"/>
      <c r="Q47" s="179"/>
      <c r="R47" s="179"/>
      <c r="S47" s="179"/>
      <c r="T47" s="179"/>
      <c r="U47" s="179"/>
      <c r="V47" s="179"/>
      <c r="W47" s="179"/>
      <c r="X47" s="179"/>
      <c r="Y47" s="87"/>
      <c r="Z47" s="88">
        <f>SUM(Z46:Z46)</f>
        <v>0</v>
      </c>
      <c r="AA47" s="180"/>
      <c r="AB47" s="1495"/>
      <c r="AC47" s="1494" t="s">
        <v>1090</v>
      </c>
      <c r="AD47" s="1511"/>
      <c r="AE47" s="1494" t="s">
        <v>1090</v>
      </c>
      <c r="AF47" s="1494"/>
      <c r="AG47" s="1495" t="s">
        <v>1090</v>
      </c>
      <c r="AH47" s="1496" t="e">
        <f>AVERAGE(AH46)</f>
        <v>#DIV/0!</v>
      </c>
      <c r="AI47" s="1495">
        <f>SUM(AI46)</f>
        <v>0</v>
      </c>
      <c r="AJ47" s="91"/>
      <c r="AK47" s="91"/>
      <c r="AL47" s="91"/>
      <c r="AM47" s="92"/>
      <c r="AN47" s="1325" t="s">
        <v>1090</v>
      </c>
      <c r="AO47" s="92"/>
      <c r="AP47" s="1877" t="s">
        <v>1090</v>
      </c>
      <c r="AQ47" s="1325"/>
      <c r="AR47" s="1325" t="s">
        <v>1090</v>
      </c>
      <c r="AS47" s="92"/>
      <c r="AT47" s="92"/>
      <c r="AU47" s="92"/>
      <c r="AV47" s="92"/>
      <c r="AW47" s="92"/>
      <c r="AX47" s="1875">
        <v>1</v>
      </c>
      <c r="AY47" s="92"/>
      <c r="AZ47" s="92" t="s">
        <v>1090</v>
      </c>
      <c r="BA47" s="92"/>
      <c r="BB47" s="92" t="s">
        <v>1090</v>
      </c>
      <c r="BC47" s="92"/>
      <c r="BD47" s="1325"/>
      <c r="BE47" s="1325"/>
      <c r="BF47" s="1325"/>
      <c r="BG47" s="1325"/>
      <c r="BH47" s="1721">
        <v>1</v>
      </c>
      <c r="BI47" s="1325"/>
      <c r="BJ47" s="1325" t="s">
        <v>1090</v>
      </c>
      <c r="BK47" s="1325"/>
      <c r="BL47" s="1325" t="s">
        <v>1090</v>
      </c>
      <c r="BM47" s="1325"/>
      <c r="BN47" s="1325"/>
      <c r="BO47" s="1325"/>
      <c r="BP47" s="1325"/>
    </row>
    <row r="48" spans="1:68" s="34" customFormat="1" ht="20.1" customHeight="1" thickBot="1">
      <c r="A48" s="2660" t="s">
        <v>290</v>
      </c>
      <c r="B48" s="2661"/>
      <c r="C48" s="2661"/>
      <c r="D48" s="2661"/>
      <c r="E48" s="181"/>
      <c r="F48" s="182"/>
      <c r="G48" s="182"/>
      <c r="H48" s="182"/>
      <c r="I48" s="305">
        <f>+(I47+I45+I34)/3</f>
        <v>1</v>
      </c>
      <c r="J48" s="182"/>
      <c r="K48" s="182"/>
      <c r="L48" s="182"/>
      <c r="M48" s="182"/>
      <c r="N48" s="182"/>
      <c r="O48" s="182"/>
      <c r="P48" s="182"/>
      <c r="Q48" s="182"/>
      <c r="R48" s="182"/>
      <c r="S48" s="182"/>
      <c r="T48" s="182"/>
      <c r="U48" s="182"/>
      <c r="V48" s="182"/>
      <c r="W48" s="182"/>
      <c r="X48" s="182"/>
      <c r="Y48" s="160"/>
      <c r="Z48" s="161">
        <f>SUM(Z45,Z47)</f>
        <v>0</v>
      </c>
      <c r="AA48" s="162"/>
      <c r="AB48" s="1527"/>
      <c r="AC48" s="1525">
        <f>AVERAGE(AC47,AC45)</f>
        <v>1</v>
      </c>
      <c r="AD48" s="1526"/>
      <c r="AE48" s="1525">
        <f>AVERAGE(AE47,AE45)</f>
        <v>1</v>
      </c>
      <c r="AF48" s="1525"/>
      <c r="AG48" s="1546">
        <f>AVERAGE(AG47,AG45)</f>
        <v>0.08333333333333333</v>
      </c>
      <c r="AH48" s="1546" t="e">
        <f>AVERAGE(AH47,AH45)</f>
        <v>#DIV/0!</v>
      </c>
      <c r="AI48" s="163">
        <f>SUM(AI47,AI45)</f>
        <v>0</v>
      </c>
      <c r="AJ48" s="163"/>
      <c r="AK48" s="163"/>
      <c r="AL48" s="163"/>
      <c r="AM48" s="163"/>
      <c r="AN48" s="306">
        <f>AVERAGE(AN47,AN45)</f>
        <v>1</v>
      </c>
      <c r="AO48" s="163"/>
      <c r="AP48" s="306">
        <f>AVERAGE(AP47,AP45)</f>
        <v>0.1875</v>
      </c>
      <c r="AQ48" s="1329"/>
      <c r="AR48" s="306">
        <f>AVERAGE(AR47:AR47,AR45)</f>
        <v>0.1875</v>
      </c>
      <c r="AS48" s="163"/>
      <c r="AT48" s="163"/>
      <c r="AU48" s="163"/>
      <c r="AV48" s="163"/>
      <c r="AW48" s="163"/>
      <c r="AX48" s="1309">
        <v>1</v>
      </c>
      <c r="AY48" s="163"/>
      <c r="AZ48" s="306">
        <f>AVERAGE(AZ47,AZ45)</f>
        <v>0.75</v>
      </c>
      <c r="BA48" s="163"/>
      <c r="BB48" s="306">
        <f>AVERAGE(BB47,BB45)</f>
        <v>0.375</v>
      </c>
      <c r="BC48" s="163"/>
      <c r="BD48" s="1329"/>
      <c r="BE48" s="1329"/>
      <c r="BF48" s="1329"/>
      <c r="BG48" s="1329"/>
      <c r="BH48" s="2186">
        <v>1</v>
      </c>
      <c r="BI48" s="1329"/>
      <c r="BJ48" s="2320">
        <f>AVERAGE(BJ47,BJ45)</f>
        <v>0.875</v>
      </c>
      <c r="BK48" s="1329"/>
      <c r="BL48" s="1279">
        <f>AVERAGE(BL47,BL45)</f>
        <v>0.5833333333333333</v>
      </c>
      <c r="BM48" s="1329"/>
      <c r="BN48" s="1329"/>
      <c r="BO48" s="1329"/>
      <c r="BP48" s="1329"/>
    </row>
    <row r="49" spans="1:68" s="3" customFormat="1" ht="21.75" customHeight="1" thickBot="1">
      <c r="A49" s="164"/>
      <c r="B49" s="165"/>
      <c r="C49" s="166"/>
      <c r="D49" s="166"/>
      <c r="E49" s="166"/>
      <c r="F49" s="267"/>
      <c r="G49" s="166"/>
      <c r="H49" s="166"/>
      <c r="I49" s="268"/>
      <c r="J49" s="166"/>
      <c r="K49" s="269"/>
      <c r="L49" s="269"/>
      <c r="M49" s="166"/>
      <c r="N49" s="166"/>
      <c r="O49" s="166"/>
      <c r="P49" s="166"/>
      <c r="Q49" s="166"/>
      <c r="R49" s="166"/>
      <c r="S49" s="166"/>
      <c r="T49" s="166"/>
      <c r="U49" s="166"/>
      <c r="V49" s="166"/>
      <c r="W49" s="166"/>
      <c r="X49" s="166"/>
      <c r="Y49" s="270"/>
      <c r="Z49" s="307">
        <f>SUM(Z35,Z48)</f>
        <v>142000000</v>
      </c>
      <c r="AA49" s="166"/>
      <c r="AB49" s="1547"/>
      <c r="AC49" s="1529">
        <f>AVERAGE(AC48,AC35)</f>
        <v>1</v>
      </c>
      <c r="AD49" s="1530"/>
      <c r="AE49" s="1529">
        <f>AVERAGE(AE48,AE35)</f>
        <v>1</v>
      </c>
      <c r="AF49" s="1529"/>
      <c r="AG49" s="1548">
        <f>AVERAGE(AG48,AG35)</f>
        <v>0.041666666666666664</v>
      </c>
      <c r="AH49" s="1548" t="e">
        <f>AVERAGE(AH48,AH35)</f>
        <v>#DIV/0!</v>
      </c>
      <c r="AI49" s="1548">
        <f>SUM(AI48,AI35)</f>
        <v>0</v>
      </c>
      <c r="AJ49" s="173"/>
      <c r="AK49" s="173"/>
      <c r="AL49" s="173"/>
      <c r="AM49" s="1886"/>
      <c r="AN49" s="1885">
        <f>AVERAGE(AN48,AN35)</f>
        <v>1</v>
      </c>
      <c r="AO49" s="1886"/>
      <c r="AP49" s="1885">
        <f>AVERAGE(AP48,AP35)</f>
        <v>0.28125</v>
      </c>
      <c r="AQ49" s="1886"/>
      <c r="AR49" s="1885">
        <f>AVERAGE(AR48,AR35)</f>
        <v>0.21875</v>
      </c>
      <c r="AS49" s="1886"/>
      <c r="AT49" s="1886"/>
      <c r="AU49" s="1886"/>
      <c r="AV49" s="173"/>
      <c r="AW49" s="1547"/>
      <c r="AX49" s="1529">
        <v>1</v>
      </c>
      <c r="AY49" s="1547"/>
      <c r="AZ49" s="1548">
        <f>AVERAGE(AZ48,AZ35)</f>
        <v>0.6161764705882353</v>
      </c>
      <c r="BA49" s="1547"/>
      <c r="BB49" s="1548">
        <f>AVERAGE(BB48,BB35)</f>
        <v>0.36223544973544974</v>
      </c>
      <c r="BC49" s="173"/>
      <c r="BD49" s="1330"/>
      <c r="BE49" s="1330"/>
      <c r="BF49" s="1330"/>
      <c r="BG49" s="1547"/>
      <c r="BH49" s="1529">
        <v>1</v>
      </c>
      <c r="BI49" s="1547"/>
      <c r="BJ49" s="1548">
        <f>AVERAGE(BJ48,BJ35)</f>
        <v>0.7643229166666666</v>
      </c>
      <c r="BK49" s="1547"/>
      <c r="BL49" s="2442">
        <f>AVERAGE(BL48,BL35)</f>
        <v>0.5234943977591036</v>
      </c>
      <c r="BM49" s="1330"/>
      <c r="BN49" s="1330"/>
      <c r="BO49" s="1330"/>
      <c r="BP49" s="1330"/>
    </row>
  </sheetData>
  <mergeCells count="46">
    <mergeCell ref="BG5:BP9"/>
    <mergeCell ref="BG11:BP11"/>
    <mergeCell ref="BG13:BP13"/>
    <mergeCell ref="BG37:BP37"/>
    <mergeCell ref="AW37:BF37"/>
    <mergeCell ref="AW13:BF13"/>
    <mergeCell ref="AW5:BF9"/>
    <mergeCell ref="AW11:BF11"/>
    <mergeCell ref="A45:D45"/>
    <mergeCell ref="A47:D47"/>
    <mergeCell ref="A48:D48"/>
    <mergeCell ref="A39:A44"/>
    <mergeCell ref="B39:B44"/>
    <mergeCell ref="C39:C40"/>
    <mergeCell ref="C41:C44"/>
    <mergeCell ref="AM37:AV37"/>
    <mergeCell ref="A34:D34"/>
    <mergeCell ref="A35:D35"/>
    <mergeCell ref="A37:D37"/>
    <mergeCell ref="E37:AA37"/>
    <mergeCell ref="AB37:AL37"/>
    <mergeCell ref="A16:A33"/>
    <mergeCell ref="B16:B33"/>
    <mergeCell ref="C16:C18"/>
    <mergeCell ref="C19:C30"/>
    <mergeCell ref="C31:C33"/>
    <mergeCell ref="A13:D13"/>
    <mergeCell ref="E13:AA13"/>
    <mergeCell ref="AB13:AL13"/>
    <mergeCell ref="AM13:AV13"/>
    <mergeCell ref="AM11:AV11"/>
    <mergeCell ref="A11:D11"/>
    <mergeCell ref="E11:AA11"/>
    <mergeCell ref="AB11:AL11"/>
    <mergeCell ref="A1:C4"/>
    <mergeCell ref="D1:BC2"/>
    <mergeCell ref="D3:BC4"/>
    <mergeCell ref="A6:AA6"/>
    <mergeCell ref="A7:AA7"/>
    <mergeCell ref="AB7:AL9"/>
    <mergeCell ref="AM7:AV9"/>
    <mergeCell ref="A5:AA5"/>
    <mergeCell ref="AB5:AL6"/>
    <mergeCell ref="AM5:AV6"/>
    <mergeCell ref="A8:AA8"/>
    <mergeCell ref="A9:AA9"/>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7"/>
  <sheetViews>
    <sheetView zoomScale="80" zoomScaleNormal="80" workbookViewId="0" topLeftCell="A1">
      <pane xSplit="3" ySplit="15" topLeftCell="P16" activePane="bottomRight" state="frozen"/>
      <selection pane="topLeft" activeCell="A15" sqref="A15"/>
      <selection pane="topRight" activeCell="D15" sqref="D15"/>
      <selection pane="bottomLeft" activeCell="A16" sqref="A16"/>
      <selection pane="bottomRight" activeCell="BH77" sqref="BH77"/>
    </sheetView>
  </sheetViews>
  <sheetFormatPr defaultColWidth="11.421875" defaultRowHeight="15"/>
  <cols>
    <col min="1" max="1" width="6.421875" style="185" customWidth="1"/>
    <col min="2" max="2" width="18.28125" style="235" customWidth="1"/>
    <col min="3" max="3" width="30.00390625" style="185" customWidth="1"/>
    <col min="4" max="4" width="43.00390625" style="185" customWidth="1"/>
    <col min="5" max="5" width="19.00390625" style="185" customWidth="1"/>
    <col min="6" max="6" width="12.7109375" style="185" customWidth="1"/>
    <col min="7" max="7" width="22.00390625" style="185" customWidth="1"/>
    <col min="8" max="8" width="24.57421875" style="186" customWidth="1"/>
    <col min="9" max="9" width="11.7109375" style="185" bestFit="1" customWidth="1"/>
    <col min="10" max="10" width="33.7109375" style="185" customWidth="1"/>
    <col min="11" max="11" width="10.7109375" style="185" customWidth="1"/>
    <col min="12" max="12" width="11.28125" style="185" customWidth="1"/>
    <col min="13" max="24" width="4.57421875" style="185" customWidth="1"/>
    <col min="25" max="25" width="16.28125" style="236" customWidth="1"/>
    <col min="26" max="26" width="26.00390625" style="185" customWidth="1"/>
    <col min="27" max="27" width="22.140625" style="185" customWidth="1"/>
    <col min="28" max="28" width="11.140625" style="1553" hidden="1" customWidth="1"/>
    <col min="29" max="29" width="15.421875" style="1348" hidden="1" customWidth="1"/>
    <col min="30" max="30" width="11.421875" style="1553" hidden="1" customWidth="1"/>
    <col min="31" max="31" width="11.421875" style="1348" hidden="1" customWidth="1"/>
    <col min="32" max="32" width="11.421875" style="1352" hidden="1" customWidth="1"/>
    <col min="33" max="33" width="13.57421875" style="1331" hidden="1" customWidth="1"/>
    <col min="34" max="36" width="11.421875" style="185" hidden="1" customWidth="1"/>
    <col min="37" max="37" width="52.28125" style="185" hidden="1" customWidth="1"/>
    <col min="38" max="38" width="22.28125" style="185" hidden="1" customWidth="1"/>
    <col min="39" max="39" width="11.421875" style="185" hidden="1" customWidth="1"/>
    <col min="40" max="40" width="11.421875" style="1331" hidden="1" customWidth="1"/>
    <col min="41" max="41" width="11.421875" style="185" hidden="1" customWidth="1"/>
    <col min="42" max="44" width="11.421875" style="1331" hidden="1" customWidth="1"/>
    <col min="45" max="46" width="11.421875" style="185" hidden="1" customWidth="1"/>
    <col min="47" max="47" width="25.8515625" style="185" hidden="1" customWidth="1"/>
    <col min="48" max="48" width="26.8515625" style="185" hidden="1" customWidth="1"/>
    <col min="49" max="53" width="11.421875" style="185" hidden="1" customWidth="1"/>
    <col min="54" max="54" width="22.00390625" style="185" hidden="1" customWidth="1"/>
    <col min="55" max="55" width="31.00390625" style="185" hidden="1" customWidth="1"/>
    <col min="56" max="56" width="15.57421875" style="185" hidden="1" customWidth="1"/>
    <col min="57" max="57" width="33.7109375" style="185" hidden="1" customWidth="1"/>
    <col min="58" max="58" width="29.00390625" style="185" hidden="1" customWidth="1"/>
    <col min="59" max="61" width="11.421875" style="185" customWidth="1"/>
    <col min="62" max="62" width="12.28125" style="185" customWidth="1"/>
    <col min="63" max="63" width="13.57421875" style="185" customWidth="1"/>
    <col min="64" max="64" width="13.28125" style="185" customWidth="1"/>
    <col min="65" max="65" width="12.7109375" style="185" customWidth="1"/>
    <col min="66" max="66" width="13.28125" style="185" customWidth="1"/>
    <col min="67" max="67" width="37.421875" style="185" customWidth="1"/>
    <col min="68" max="68" width="33.28125" style="185" customWidth="1"/>
    <col min="69" max="16384" width="11.421875" style="185" customWidth="1"/>
  </cols>
  <sheetData>
    <row r="1" spans="1:55" ht="15" customHeight="1">
      <c r="A1" s="2778"/>
      <c r="B1" s="2779"/>
      <c r="C1" s="2780"/>
      <c r="D1" s="2787" t="s">
        <v>0</v>
      </c>
      <c r="E1" s="2788"/>
      <c r="F1" s="2788"/>
      <c r="G1" s="2788"/>
      <c r="H1" s="2788"/>
      <c r="I1" s="2788"/>
      <c r="J1" s="2788"/>
      <c r="K1" s="2788"/>
      <c r="L1" s="2788"/>
      <c r="M1" s="2788"/>
      <c r="N1" s="2788"/>
      <c r="O1" s="2788"/>
      <c r="P1" s="2788"/>
      <c r="Q1" s="2788"/>
      <c r="R1" s="2788"/>
      <c r="S1" s="2788"/>
      <c r="T1" s="2788"/>
      <c r="U1" s="2788"/>
      <c r="V1" s="2788"/>
      <c r="W1" s="2788"/>
      <c r="X1" s="2788"/>
      <c r="Y1" s="2788"/>
      <c r="Z1" s="2788"/>
      <c r="AA1" s="2788"/>
      <c r="AB1" s="2788"/>
      <c r="AC1" s="2788"/>
      <c r="AD1" s="2788"/>
      <c r="AE1" s="2788"/>
      <c r="AF1" s="2788"/>
      <c r="AG1" s="2788"/>
      <c r="AH1" s="2788"/>
      <c r="AI1" s="2788"/>
      <c r="AJ1" s="2788"/>
      <c r="AK1" s="2788"/>
      <c r="AL1" s="2788"/>
      <c r="AM1" s="2788"/>
      <c r="AN1" s="2788"/>
      <c r="AO1" s="2788"/>
      <c r="AP1" s="2788"/>
      <c r="AQ1" s="2788"/>
      <c r="AR1" s="2788"/>
      <c r="AS1" s="2788"/>
      <c r="AT1" s="2788"/>
      <c r="AU1" s="2788"/>
      <c r="AV1" s="2788"/>
      <c r="AW1" s="2788"/>
      <c r="AX1" s="2788"/>
      <c r="AY1" s="2788"/>
      <c r="AZ1" s="2788"/>
      <c r="BA1" s="2788"/>
      <c r="BB1" s="2788"/>
      <c r="BC1" s="2788"/>
    </row>
    <row r="2" spans="1:55" ht="20.25" customHeight="1" thickBot="1">
      <c r="A2" s="2781"/>
      <c r="B2" s="2782"/>
      <c r="C2" s="2783"/>
      <c r="D2" s="2789"/>
      <c r="E2" s="2790"/>
      <c r="F2" s="2790"/>
      <c r="G2" s="2790"/>
      <c r="H2" s="2790"/>
      <c r="I2" s="2790"/>
      <c r="J2" s="2790"/>
      <c r="K2" s="2790"/>
      <c r="L2" s="2790"/>
      <c r="M2" s="2790"/>
      <c r="N2" s="2790"/>
      <c r="O2" s="2790"/>
      <c r="P2" s="2790"/>
      <c r="Q2" s="2790"/>
      <c r="R2" s="2790"/>
      <c r="S2" s="2790"/>
      <c r="T2" s="2790"/>
      <c r="U2" s="2790"/>
      <c r="V2" s="2790"/>
      <c r="W2" s="2790"/>
      <c r="X2" s="2790"/>
      <c r="Y2" s="2790"/>
      <c r="Z2" s="2790"/>
      <c r="AA2" s="2790"/>
      <c r="AB2" s="2790"/>
      <c r="AC2" s="2790"/>
      <c r="AD2" s="2790"/>
      <c r="AE2" s="2790"/>
      <c r="AF2" s="2790"/>
      <c r="AG2" s="2790"/>
      <c r="AH2" s="2790"/>
      <c r="AI2" s="2790"/>
      <c r="AJ2" s="2790"/>
      <c r="AK2" s="2790"/>
      <c r="AL2" s="2790"/>
      <c r="AM2" s="2790"/>
      <c r="AN2" s="2790"/>
      <c r="AO2" s="2790"/>
      <c r="AP2" s="2790"/>
      <c r="AQ2" s="2790"/>
      <c r="AR2" s="2790"/>
      <c r="AS2" s="2790"/>
      <c r="AT2" s="2790"/>
      <c r="AU2" s="2790"/>
      <c r="AV2" s="2790"/>
      <c r="AW2" s="2790"/>
      <c r="AX2" s="2790"/>
      <c r="AY2" s="2790"/>
      <c r="AZ2" s="2790"/>
      <c r="BA2" s="2790"/>
      <c r="BB2" s="2790"/>
      <c r="BC2" s="2790"/>
    </row>
    <row r="3" spans="1:55" ht="19.5" customHeight="1">
      <c r="A3" s="2781"/>
      <c r="B3" s="2782"/>
      <c r="C3" s="2783"/>
      <c r="D3" s="2787" t="s">
        <v>3</v>
      </c>
      <c r="E3" s="2788"/>
      <c r="F3" s="2788"/>
      <c r="G3" s="2788"/>
      <c r="H3" s="2788"/>
      <c r="I3" s="2788"/>
      <c r="J3" s="2788"/>
      <c r="K3" s="2788"/>
      <c r="L3" s="2788"/>
      <c r="M3" s="2788"/>
      <c r="N3" s="2788"/>
      <c r="O3" s="2788"/>
      <c r="P3" s="2788"/>
      <c r="Q3" s="2788"/>
      <c r="R3" s="2788"/>
      <c r="S3" s="2788"/>
      <c r="T3" s="2788"/>
      <c r="U3" s="2788"/>
      <c r="V3" s="2788"/>
      <c r="W3" s="2788"/>
      <c r="X3" s="2788"/>
      <c r="Y3" s="2788"/>
      <c r="Z3" s="2788"/>
      <c r="AA3" s="2788"/>
      <c r="AB3" s="2788"/>
      <c r="AC3" s="2788"/>
      <c r="AD3" s="2788"/>
      <c r="AE3" s="2788"/>
      <c r="AF3" s="2788"/>
      <c r="AG3" s="2788"/>
      <c r="AH3" s="2788"/>
      <c r="AI3" s="2788"/>
      <c r="AJ3" s="2788"/>
      <c r="AK3" s="2788"/>
      <c r="AL3" s="2788"/>
      <c r="AM3" s="2788"/>
      <c r="AN3" s="2788"/>
      <c r="AO3" s="2788"/>
      <c r="AP3" s="2788"/>
      <c r="AQ3" s="2788"/>
      <c r="AR3" s="2788"/>
      <c r="AS3" s="2788"/>
      <c r="AT3" s="2788"/>
      <c r="AU3" s="2788"/>
      <c r="AV3" s="2788"/>
      <c r="AW3" s="2788"/>
      <c r="AX3" s="2788"/>
      <c r="AY3" s="2788"/>
      <c r="AZ3" s="2788"/>
      <c r="BA3" s="2788"/>
      <c r="BB3" s="2788"/>
      <c r="BC3" s="2788"/>
    </row>
    <row r="4" spans="1:55" ht="21.75" customHeight="1" thickBot="1">
      <c r="A4" s="2784"/>
      <c r="B4" s="2785"/>
      <c r="C4" s="2786"/>
      <c r="D4" s="2789"/>
      <c r="E4" s="2790"/>
      <c r="F4" s="2790"/>
      <c r="G4" s="2790"/>
      <c r="H4" s="2790"/>
      <c r="I4" s="2790"/>
      <c r="J4" s="2790"/>
      <c r="K4" s="2790"/>
      <c r="L4" s="2790"/>
      <c r="M4" s="2790"/>
      <c r="N4" s="2790"/>
      <c r="O4" s="2790"/>
      <c r="P4" s="2790"/>
      <c r="Q4" s="2790"/>
      <c r="R4" s="2790"/>
      <c r="S4" s="2790"/>
      <c r="T4" s="2790"/>
      <c r="U4" s="2790"/>
      <c r="V4" s="2790"/>
      <c r="W4" s="2790"/>
      <c r="X4" s="2790"/>
      <c r="Y4" s="2790"/>
      <c r="Z4" s="2790"/>
      <c r="AA4" s="2790"/>
      <c r="AB4" s="2790"/>
      <c r="AC4" s="2790"/>
      <c r="AD4" s="2790"/>
      <c r="AE4" s="2790"/>
      <c r="AF4" s="2790"/>
      <c r="AG4" s="2790"/>
      <c r="AH4" s="2790"/>
      <c r="AI4" s="2790"/>
      <c r="AJ4" s="2790"/>
      <c r="AK4" s="2790"/>
      <c r="AL4" s="2790"/>
      <c r="AM4" s="2790"/>
      <c r="AN4" s="2790"/>
      <c r="AO4" s="2790"/>
      <c r="AP4" s="2790"/>
      <c r="AQ4" s="2790"/>
      <c r="AR4" s="2790"/>
      <c r="AS4" s="2790"/>
      <c r="AT4" s="2790"/>
      <c r="AU4" s="2790"/>
      <c r="AV4" s="2790"/>
      <c r="AW4" s="2790"/>
      <c r="AX4" s="2790"/>
      <c r="AY4" s="2790"/>
      <c r="AZ4" s="2790"/>
      <c r="BA4" s="2790"/>
      <c r="BB4" s="2790"/>
      <c r="BC4" s="2790"/>
    </row>
    <row r="5" spans="1:68" ht="20.25" customHeight="1">
      <c r="A5" s="2806" t="s">
        <v>4</v>
      </c>
      <c r="B5" s="2807"/>
      <c r="C5" s="2807"/>
      <c r="D5" s="2807"/>
      <c r="E5" s="2807"/>
      <c r="F5" s="2807"/>
      <c r="G5" s="2807"/>
      <c r="H5" s="2807"/>
      <c r="I5" s="2807"/>
      <c r="J5" s="2807"/>
      <c r="K5" s="2807"/>
      <c r="L5" s="2807"/>
      <c r="M5" s="2807"/>
      <c r="N5" s="2807"/>
      <c r="O5" s="2807"/>
      <c r="P5" s="2807"/>
      <c r="Q5" s="2807"/>
      <c r="R5" s="2807"/>
      <c r="S5" s="2807"/>
      <c r="T5" s="2807"/>
      <c r="U5" s="2807"/>
      <c r="V5" s="2807"/>
      <c r="W5" s="2807"/>
      <c r="X5" s="2807"/>
      <c r="Y5" s="2807"/>
      <c r="Z5" s="2807"/>
      <c r="AA5" s="2808"/>
      <c r="AB5" s="2809" t="s">
        <v>4</v>
      </c>
      <c r="AC5" s="2810"/>
      <c r="AD5" s="2810"/>
      <c r="AE5" s="2810"/>
      <c r="AF5" s="2810"/>
      <c r="AG5" s="2810"/>
      <c r="AH5" s="2810"/>
      <c r="AI5" s="2810"/>
      <c r="AJ5" s="2810"/>
      <c r="AK5" s="2810"/>
      <c r="AL5" s="2811"/>
      <c r="AM5" s="2815" t="s">
        <v>4</v>
      </c>
      <c r="AN5" s="2816"/>
      <c r="AO5" s="2816"/>
      <c r="AP5" s="2816"/>
      <c r="AQ5" s="2816"/>
      <c r="AR5" s="2816"/>
      <c r="AS5" s="2816"/>
      <c r="AT5" s="2816"/>
      <c r="AU5" s="2816"/>
      <c r="AV5" s="2817"/>
      <c r="AW5" s="2797" t="s">
        <v>2486</v>
      </c>
      <c r="AX5" s="2798"/>
      <c r="AY5" s="2798"/>
      <c r="AZ5" s="2798"/>
      <c r="BA5" s="2798"/>
      <c r="BB5" s="2798"/>
      <c r="BC5" s="2798"/>
      <c r="BD5" s="2798"/>
      <c r="BE5" s="2798"/>
      <c r="BF5" s="2799"/>
      <c r="BG5" s="2575" t="s">
        <v>2856</v>
      </c>
      <c r="BH5" s="2576"/>
      <c r="BI5" s="2576"/>
      <c r="BJ5" s="2576"/>
      <c r="BK5" s="2576"/>
      <c r="BL5" s="2576"/>
      <c r="BM5" s="2576"/>
      <c r="BN5" s="2576"/>
      <c r="BO5" s="2576"/>
      <c r="BP5" s="2577"/>
    </row>
    <row r="6" spans="1:68" ht="15.75" customHeight="1">
      <c r="A6" s="2818" t="s">
        <v>5</v>
      </c>
      <c r="B6" s="2819"/>
      <c r="C6" s="2819"/>
      <c r="D6" s="2819"/>
      <c r="E6" s="2819"/>
      <c r="F6" s="2819"/>
      <c r="G6" s="2819"/>
      <c r="H6" s="2819"/>
      <c r="I6" s="2819"/>
      <c r="J6" s="2819"/>
      <c r="K6" s="2819"/>
      <c r="L6" s="2819"/>
      <c r="M6" s="2819"/>
      <c r="N6" s="2819"/>
      <c r="O6" s="2819"/>
      <c r="P6" s="2819"/>
      <c r="Q6" s="2819"/>
      <c r="R6" s="2819"/>
      <c r="S6" s="2819"/>
      <c r="T6" s="2819"/>
      <c r="U6" s="2819"/>
      <c r="V6" s="2819"/>
      <c r="W6" s="2819"/>
      <c r="X6" s="2819"/>
      <c r="Y6" s="2819"/>
      <c r="Z6" s="2819"/>
      <c r="AA6" s="2820"/>
      <c r="AB6" s="2812"/>
      <c r="AC6" s="2813"/>
      <c r="AD6" s="2813"/>
      <c r="AE6" s="2813"/>
      <c r="AF6" s="2813"/>
      <c r="AG6" s="2813"/>
      <c r="AH6" s="2813"/>
      <c r="AI6" s="2813"/>
      <c r="AJ6" s="2813"/>
      <c r="AK6" s="2813"/>
      <c r="AL6" s="2814"/>
      <c r="AM6" s="2791"/>
      <c r="AN6" s="2792"/>
      <c r="AO6" s="2792"/>
      <c r="AP6" s="2792"/>
      <c r="AQ6" s="2792"/>
      <c r="AR6" s="2792"/>
      <c r="AS6" s="2792"/>
      <c r="AT6" s="2792"/>
      <c r="AU6" s="2792"/>
      <c r="AV6" s="2793"/>
      <c r="AW6" s="2800"/>
      <c r="AX6" s="2801"/>
      <c r="AY6" s="2801"/>
      <c r="AZ6" s="2801"/>
      <c r="BA6" s="2801"/>
      <c r="BB6" s="2801"/>
      <c r="BC6" s="2801"/>
      <c r="BD6" s="2801"/>
      <c r="BE6" s="2801"/>
      <c r="BF6" s="2802"/>
      <c r="BG6" s="2578"/>
      <c r="BH6" s="2579"/>
      <c r="BI6" s="2579"/>
      <c r="BJ6" s="2579"/>
      <c r="BK6" s="2579"/>
      <c r="BL6" s="2579"/>
      <c r="BM6" s="2579"/>
      <c r="BN6" s="2579"/>
      <c r="BO6" s="2579"/>
      <c r="BP6" s="2580"/>
    </row>
    <row r="7" spans="1:68" ht="15.75" customHeight="1">
      <c r="A7" s="2818"/>
      <c r="B7" s="2819"/>
      <c r="C7" s="2819"/>
      <c r="D7" s="2819"/>
      <c r="E7" s="2819"/>
      <c r="F7" s="2819"/>
      <c r="G7" s="2819"/>
      <c r="H7" s="2819"/>
      <c r="I7" s="2819"/>
      <c r="J7" s="2819"/>
      <c r="K7" s="2819"/>
      <c r="L7" s="2819"/>
      <c r="M7" s="2819"/>
      <c r="N7" s="2819"/>
      <c r="O7" s="2819"/>
      <c r="P7" s="2819"/>
      <c r="Q7" s="2819"/>
      <c r="R7" s="2819"/>
      <c r="S7" s="2819"/>
      <c r="T7" s="2819"/>
      <c r="U7" s="2819"/>
      <c r="V7" s="2819"/>
      <c r="W7" s="2819"/>
      <c r="X7" s="2819"/>
      <c r="Y7" s="2819"/>
      <c r="Z7" s="2819"/>
      <c r="AA7" s="2820"/>
      <c r="AB7" s="2812" t="s">
        <v>2452</v>
      </c>
      <c r="AC7" s="2813"/>
      <c r="AD7" s="2813"/>
      <c r="AE7" s="2813"/>
      <c r="AF7" s="2813"/>
      <c r="AG7" s="2813"/>
      <c r="AH7" s="2813"/>
      <c r="AI7" s="2813"/>
      <c r="AJ7" s="2813"/>
      <c r="AK7" s="2813"/>
      <c r="AL7" s="2814"/>
      <c r="AM7" s="2791" t="s">
        <v>2451</v>
      </c>
      <c r="AN7" s="2792"/>
      <c r="AO7" s="2792"/>
      <c r="AP7" s="2792"/>
      <c r="AQ7" s="2792"/>
      <c r="AR7" s="2792"/>
      <c r="AS7" s="2792"/>
      <c r="AT7" s="2792"/>
      <c r="AU7" s="2792"/>
      <c r="AV7" s="2793"/>
      <c r="AW7" s="2800"/>
      <c r="AX7" s="2801"/>
      <c r="AY7" s="2801"/>
      <c r="AZ7" s="2801"/>
      <c r="BA7" s="2801"/>
      <c r="BB7" s="2801"/>
      <c r="BC7" s="2801"/>
      <c r="BD7" s="2801"/>
      <c r="BE7" s="2801"/>
      <c r="BF7" s="2802"/>
      <c r="BG7" s="2578"/>
      <c r="BH7" s="2579"/>
      <c r="BI7" s="2579"/>
      <c r="BJ7" s="2579"/>
      <c r="BK7" s="2579"/>
      <c r="BL7" s="2579"/>
      <c r="BM7" s="2579"/>
      <c r="BN7" s="2579"/>
      <c r="BO7" s="2579"/>
      <c r="BP7" s="2580"/>
    </row>
    <row r="8" spans="1:68" ht="15.75" customHeight="1">
      <c r="A8" s="2818" t="s">
        <v>6</v>
      </c>
      <c r="B8" s="2819"/>
      <c r="C8" s="2819"/>
      <c r="D8" s="2819"/>
      <c r="E8" s="2819"/>
      <c r="F8" s="2819"/>
      <c r="G8" s="2819"/>
      <c r="H8" s="2819"/>
      <c r="I8" s="2819"/>
      <c r="J8" s="2819"/>
      <c r="K8" s="2819"/>
      <c r="L8" s="2819"/>
      <c r="M8" s="2819"/>
      <c r="N8" s="2819"/>
      <c r="O8" s="2819"/>
      <c r="P8" s="2819"/>
      <c r="Q8" s="2819"/>
      <c r="R8" s="2819"/>
      <c r="S8" s="2819"/>
      <c r="T8" s="2819"/>
      <c r="U8" s="2819"/>
      <c r="V8" s="2819"/>
      <c r="W8" s="2819"/>
      <c r="X8" s="2819"/>
      <c r="Y8" s="2819"/>
      <c r="Z8" s="2819"/>
      <c r="AA8" s="2820"/>
      <c r="AB8" s="2812"/>
      <c r="AC8" s="2813"/>
      <c r="AD8" s="2813"/>
      <c r="AE8" s="2813"/>
      <c r="AF8" s="2813"/>
      <c r="AG8" s="2813"/>
      <c r="AH8" s="2813"/>
      <c r="AI8" s="2813"/>
      <c r="AJ8" s="2813"/>
      <c r="AK8" s="2813"/>
      <c r="AL8" s="2814"/>
      <c r="AM8" s="2791"/>
      <c r="AN8" s="2792"/>
      <c r="AO8" s="2792"/>
      <c r="AP8" s="2792"/>
      <c r="AQ8" s="2792"/>
      <c r="AR8" s="2792"/>
      <c r="AS8" s="2792"/>
      <c r="AT8" s="2792"/>
      <c r="AU8" s="2792"/>
      <c r="AV8" s="2793"/>
      <c r="AW8" s="2800"/>
      <c r="AX8" s="2801"/>
      <c r="AY8" s="2801"/>
      <c r="AZ8" s="2801"/>
      <c r="BA8" s="2801"/>
      <c r="BB8" s="2801"/>
      <c r="BC8" s="2801"/>
      <c r="BD8" s="2801"/>
      <c r="BE8" s="2801"/>
      <c r="BF8" s="2802"/>
      <c r="BG8" s="2578"/>
      <c r="BH8" s="2579"/>
      <c r="BI8" s="2579"/>
      <c r="BJ8" s="2579"/>
      <c r="BK8" s="2579"/>
      <c r="BL8" s="2579"/>
      <c r="BM8" s="2579"/>
      <c r="BN8" s="2579"/>
      <c r="BO8" s="2579"/>
      <c r="BP8" s="2580"/>
    </row>
    <row r="9" spans="1:68" ht="15.75" customHeight="1" thickBot="1">
      <c r="A9" s="2821">
        <v>2015</v>
      </c>
      <c r="B9" s="2822"/>
      <c r="C9" s="2822"/>
      <c r="D9" s="2822"/>
      <c r="E9" s="2822"/>
      <c r="F9" s="2822"/>
      <c r="G9" s="2822"/>
      <c r="H9" s="2822"/>
      <c r="I9" s="2822"/>
      <c r="J9" s="2822"/>
      <c r="K9" s="2822"/>
      <c r="L9" s="2822"/>
      <c r="M9" s="2822"/>
      <c r="N9" s="2822"/>
      <c r="O9" s="2822"/>
      <c r="P9" s="2822"/>
      <c r="Q9" s="2822"/>
      <c r="R9" s="2822"/>
      <c r="S9" s="2822"/>
      <c r="T9" s="2822"/>
      <c r="U9" s="2822"/>
      <c r="V9" s="2822"/>
      <c r="W9" s="2822"/>
      <c r="X9" s="2822"/>
      <c r="Y9" s="2822"/>
      <c r="Z9" s="2822"/>
      <c r="AA9" s="2823"/>
      <c r="AB9" s="2824"/>
      <c r="AC9" s="2825"/>
      <c r="AD9" s="2825"/>
      <c r="AE9" s="2825"/>
      <c r="AF9" s="2825"/>
      <c r="AG9" s="2825"/>
      <c r="AH9" s="2825"/>
      <c r="AI9" s="2825"/>
      <c r="AJ9" s="2825"/>
      <c r="AK9" s="2825"/>
      <c r="AL9" s="2826"/>
      <c r="AM9" s="2794"/>
      <c r="AN9" s="2795"/>
      <c r="AO9" s="2795"/>
      <c r="AP9" s="2795"/>
      <c r="AQ9" s="2795"/>
      <c r="AR9" s="2795"/>
      <c r="AS9" s="2795"/>
      <c r="AT9" s="2795"/>
      <c r="AU9" s="2795"/>
      <c r="AV9" s="2796"/>
      <c r="AW9" s="2803"/>
      <c r="AX9" s="2804"/>
      <c r="AY9" s="2804"/>
      <c r="AZ9" s="2804"/>
      <c r="BA9" s="2804"/>
      <c r="BB9" s="2804"/>
      <c r="BC9" s="2804"/>
      <c r="BD9" s="2804"/>
      <c r="BE9" s="2804"/>
      <c r="BF9" s="2805"/>
      <c r="BG9" s="2581"/>
      <c r="BH9" s="2582"/>
      <c r="BI9" s="2582"/>
      <c r="BJ9" s="2582"/>
      <c r="BK9" s="2582"/>
      <c r="BL9" s="2582"/>
      <c r="BM9" s="2582"/>
      <c r="BN9" s="2582"/>
      <c r="BO9" s="2582"/>
      <c r="BP9" s="2583"/>
    </row>
    <row r="10" spans="1:58" ht="9" customHeight="1" thickBot="1">
      <c r="A10" s="186"/>
      <c r="B10" s="187"/>
      <c r="C10" s="186"/>
      <c r="D10" s="186"/>
      <c r="E10" s="186"/>
      <c r="F10" s="188"/>
      <c r="G10" s="186"/>
      <c r="I10" s="189"/>
      <c r="J10" s="186"/>
      <c r="K10" s="190"/>
      <c r="L10" s="190"/>
      <c r="M10" s="186"/>
      <c r="N10" s="186"/>
      <c r="O10" s="186"/>
      <c r="P10" s="186"/>
      <c r="Q10" s="186"/>
      <c r="R10" s="186"/>
      <c r="S10" s="186"/>
      <c r="T10" s="186"/>
      <c r="U10" s="186"/>
      <c r="V10" s="186"/>
      <c r="W10" s="186"/>
      <c r="X10" s="186"/>
      <c r="Y10" s="191"/>
      <c r="Z10" s="192"/>
      <c r="AA10" s="186"/>
      <c r="AB10" s="1549"/>
      <c r="AC10" s="1346"/>
      <c r="AD10" s="1549"/>
      <c r="AE10" s="1346"/>
      <c r="AF10" s="1349"/>
      <c r="AG10" s="1332"/>
      <c r="AH10" s="193"/>
      <c r="AI10" s="193"/>
      <c r="AJ10" s="193"/>
      <c r="AK10" s="193"/>
      <c r="AL10" s="193"/>
      <c r="AM10" s="194"/>
      <c r="AN10" s="194"/>
      <c r="AO10" s="194"/>
      <c r="AP10" s="194"/>
      <c r="AQ10" s="194"/>
      <c r="AR10" s="194"/>
      <c r="AS10" s="194"/>
      <c r="AT10" s="194"/>
      <c r="AU10" s="194"/>
      <c r="AV10" s="194"/>
      <c r="AW10" s="194"/>
      <c r="AX10" s="194"/>
      <c r="AY10" s="194"/>
      <c r="AZ10" s="194"/>
      <c r="BA10" s="194"/>
      <c r="BB10" s="194"/>
      <c r="BC10" s="194"/>
      <c r="BD10" s="194"/>
      <c r="BE10" s="194"/>
      <c r="BF10" s="194"/>
    </row>
    <row r="11" spans="1:68" s="186" customFormat="1" ht="21" customHeight="1" thickBot="1">
      <c r="A11" s="2827" t="s">
        <v>7</v>
      </c>
      <c r="B11" s="2827"/>
      <c r="C11" s="2827"/>
      <c r="D11" s="2827"/>
      <c r="E11" s="2828" t="s">
        <v>291</v>
      </c>
      <c r="F11" s="2829"/>
      <c r="G11" s="2829"/>
      <c r="H11" s="2829"/>
      <c r="I11" s="2829"/>
      <c r="J11" s="2829"/>
      <c r="K11" s="2829"/>
      <c r="L11" s="2829"/>
      <c r="M11" s="2829"/>
      <c r="N11" s="2829"/>
      <c r="O11" s="2829"/>
      <c r="P11" s="2829"/>
      <c r="Q11" s="2829"/>
      <c r="R11" s="2829"/>
      <c r="S11" s="2829"/>
      <c r="T11" s="2829"/>
      <c r="U11" s="2829"/>
      <c r="V11" s="2829"/>
      <c r="W11" s="2829"/>
      <c r="X11" s="2829"/>
      <c r="Y11" s="2829"/>
      <c r="Z11" s="2829"/>
      <c r="AA11" s="2830"/>
      <c r="AB11" s="2776" t="s">
        <v>291</v>
      </c>
      <c r="AC11" s="2776"/>
      <c r="AD11" s="2776"/>
      <c r="AE11" s="2776"/>
      <c r="AF11" s="2776"/>
      <c r="AG11" s="2776"/>
      <c r="AH11" s="2776"/>
      <c r="AI11" s="2776"/>
      <c r="AJ11" s="2776"/>
      <c r="AK11" s="2776"/>
      <c r="AL11" s="2776"/>
      <c r="AM11" s="2776" t="s">
        <v>291</v>
      </c>
      <c r="AN11" s="2776"/>
      <c r="AO11" s="2776"/>
      <c r="AP11" s="2776"/>
      <c r="AQ11" s="2776"/>
      <c r="AR11" s="2776"/>
      <c r="AS11" s="2776"/>
      <c r="AT11" s="2776"/>
      <c r="AU11" s="2776"/>
      <c r="AV11" s="2776"/>
      <c r="AW11" s="2776" t="s">
        <v>291</v>
      </c>
      <c r="AX11" s="2776"/>
      <c r="AY11" s="2776"/>
      <c r="AZ11" s="2776"/>
      <c r="BA11" s="2776"/>
      <c r="BB11" s="2776"/>
      <c r="BC11" s="2776"/>
      <c r="BD11" s="2776"/>
      <c r="BE11" s="2776"/>
      <c r="BF11" s="2776"/>
      <c r="BG11" s="2776"/>
      <c r="BH11" s="2776"/>
      <c r="BI11" s="2776"/>
      <c r="BJ11" s="2776"/>
      <c r="BK11" s="2776"/>
      <c r="BL11" s="2776"/>
      <c r="BM11" s="2776"/>
      <c r="BN11" s="2776"/>
      <c r="BO11" s="2776"/>
      <c r="BP11" s="2412"/>
    </row>
    <row r="12" spans="2:58" s="195" customFormat="1" ht="9.95" customHeight="1" thickBot="1">
      <c r="B12" s="196"/>
      <c r="F12" s="197"/>
      <c r="I12" s="198"/>
      <c r="K12" s="199"/>
      <c r="L12" s="199"/>
      <c r="Y12" s="200"/>
      <c r="Z12" s="201"/>
      <c r="AB12" s="1550"/>
      <c r="AC12" s="1347"/>
      <c r="AD12" s="1550"/>
      <c r="AE12" s="1347"/>
      <c r="AF12" s="1350"/>
      <c r="AG12" s="1333"/>
      <c r="AH12" s="202"/>
      <c r="AI12" s="202"/>
      <c r="AJ12" s="202"/>
      <c r="AK12" s="202"/>
      <c r="AL12" s="202"/>
      <c r="AN12" s="1648"/>
      <c r="AP12" s="1648"/>
      <c r="AQ12" s="1648"/>
      <c r="AR12" s="1648"/>
      <c r="BD12" s="1947"/>
      <c r="BE12" s="1947"/>
      <c r="BF12" s="1947"/>
    </row>
    <row r="13" spans="1:68" s="187" customFormat="1" ht="21" customHeight="1" thickBot="1">
      <c r="A13" s="2831" t="s">
        <v>9</v>
      </c>
      <c r="B13" s="2832"/>
      <c r="C13" s="2832"/>
      <c r="D13" s="2833"/>
      <c r="E13" s="2834" t="s">
        <v>292</v>
      </c>
      <c r="F13" s="2835"/>
      <c r="G13" s="2835"/>
      <c r="H13" s="2835"/>
      <c r="I13" s="2835"/>
      <c r="J13" s="2835"/>
      <c r="K13" s="2835"/>
      <c r="L13" s="2835"/>
      <c r="M13" s="2835"/>
      <c r="N13" s="2835"/>
      <c r="O13" s="2835"/>
      <c r="P13" s="2835"/>
      <c r="Q13" s="2835"/>
      <c r="R13" s="2835"/>
      <c r="S13" s="2835"/>
      <c r="T13" s="2835"/>
      <c r="U13" s="2835"/>
      <c r="V13" s="2835"/>
      <c r="W13" s="2835"/>
      <c r="X13" s="2835"/>
      <c r="Y13" s="2835"/>
      <c r="Z13" s="2835"/>
      <c r="AA13" s="2836"/>
      <c r="AB13" s="2775" t="s">
        <v>292</v>
      </c>
      <c r="AC13" s="2775"/>
      <c r="AD13" s="2775"/>
      <c r="AE13" s="2775"/>
      <c r="AF13" s="2775"/>
      <c r="AG13" s="2775"/>
      <c r="AH13" s="2775"/>
      <c r="AI13" s="2775"/>
      <c r="AJ13" s="2775"/>
      <c r="AK13" s="2775"/>
      <c r="AL13" s="2775"/>
      <c r="AM13" s="2775" t="s">
        <v>292</v>
      </c>
      <c r="AN13" s="2775"/>
      <c r="AO13" s="2775"/>
      <c r="AP13" s="2775"/>
      <c r="AQ13" s="2775"/>
      <c r="AR13" s="2775"/>
      <c r="AS13" s="2775"/>
      <c r="AT13" s="2775"/>
      <c r="AU13" s="2775"/>
      <c r="AV13" s="2775"/>
      <c r="AW13" s="2775" t="s">
        <v>292</v>
      </c>
      <c r="AX13" s="2775"/>
      <c r="AY13" s="2775"/>
      <c r="AZ13" s="2775"/>
      <c r="BA13" s="2775"/>
      <c r="BB13" s="2775"/>
      <c r="BC13" s="2775"/>
      <c r="BD13" s="2775"/>
      <c r="BE13" s="2775"/>
      <c r="BF13" s="2775"/>
      <c r="BG13" s="2775"/>
      <c r="BH13" s="2775"/>
      <c r="BI13" s="2775"/>
      <c r="BJ13" s="2775"/>
      <c r="BK13" s="2775"/>
      <c r="BL13" s="2775"/>
      <c r="BM13" s="2775"/>
      <c r="BN13" s="2775"/>
      <c r="BO13" s="2775"/>
      <c r="BP13" s="2413"/>
    </row>
    <row r="14" spans="2:58" s="195" customFormat="1" ht="9.95" customHeight="1" thickBot="1">
      <c r="B14" s="196"/>
      <c r="F14" s="197"/>
      <c r="I14" s="198"/>
      <c r="K14" s="199"/>
      <c r="L14" s="199"/>
      <c r="Y14" s="200"/>
      <c r="Z14" s="201"/>
      <c r="AB14" s="1550"/>
      <c r="AC14" s="1347"/>
      <c r="AD14" s="1550"/>
      <c r="AE14" s="1347"/>
      <c r="AF14" s="1350"/>
      <c r="AG14" s="1333"/>
      <c r="AH14" s="202"/>
      <c r="AI14" s="202"/>
      <c r="AJ14" s="202"/>
      <c r="AK14" s="202"/>
      <c r="AL14" s="202"/>
      <c r="AN14" s="1648"/>
      <c r="AP14" s="1648"/>
      <c r="AQ14" s="1648"/>
      <c r="AR14" s="1648"/>
      <c r="BD14" s="1947"/>
      <c r="BE14" s="1947"/>
      <c r="BF14" s="1947"/>
    </row>
    <row r="15" spans="1:68" s="186" customFormat="1" ht="64.5" thickBot="1">
      <c r="A15" s="22" t="s">
        <v>11</v>
      </c>
      <c r="B15" s="23" t="s">
        <v>12</v>
      </c>
      <c r="C15" s="22" t="s">
        <v>13</v>
      </c>
      <c r="D15" s="203" t="s">
        <v>14</v>
      </c>
      <c r="E15" s="204" t="s">
        <v>15</v>
      </c>
      <c r="F15" s="25" t="s">
        <v>16</v>
      </c>
      <c r="G15" s="26" t="s">
        <v>17</v>
      </c>
      <c r="H15" s="31" t="s">
        <v>18</v>
      </c>
      <c r="I15" s="205" t="s">
        <v>19</v>
      </c>
      <c r="J15" s="26" t="s">
        <v>20</v>
      </c>
      <c r="K15" s="26" t="s">
        <v>21</v>
      </c>
      <c r="L15" s="26" t="s">
        <v>22</v>
      </c>
      <c r="M15" s="28" t="s">
        <v>23</v>
      </c>
      <c r="N15" s="28" t="s">
        <v>24</v>
      </c>
      <c r="O15" s="28" t="s">
        <v>25</v>
      </c>
      <c r="P15" s="28" t="s">
        <v>26</v>
      </c>
      <c r="Q15" s="28" t="s">
        <v>27</v>
      </c>
      <c r="R15" s="28" t="s">
        <v>28</v>
      </c>
      <c r="S15" s="28" t="s">
        <v>29</v>
      </c>
      <c r="T15" s="28" t="s">
        <v>30</v>
      </c>
      <c r="U15" s="28" t="s">
        <v>31</v>
      </c>
      <c r="V15" s="28" t="s">
        <v>32</v>
      </c>
      <c r="W15" s="28" t="s">
        <v>33</v>
      </c>
      <c r="X15" s="28" t="s">
        <v>34</v>
      </c>
      <c r="Y15" s="29" t="s">
        <v>35</v>
      </c>
      <c r="Z15" s="26" t="s">
        <v>36</v>
      </c>
      <c r="AA15" s="31" t="s">
        <v>37</v>
      </c>
      <c r="AB15" s="1551" t="s">
        <v>38</v>
      </c>
      <c r="AC15" s="1631" t="s">
        <v>1781</v>
      </c>
      <c r="AD15" s="1551" t="s">
        <v>39</v>
      </c>
      <c r="AE15" s="1633" t="s">
        <v>1821</v>
      </c>
      <c r="AF15" s="1614" t="s">
        <v>1822</v>
      </c>
      <c r="AG15" s="1613" t="s">
        <v>1783</v>
      </c>
      <c r="AH15" s="206" t="s">
        <v>40</v>
      </c>
      <c r="AI15" s="206" t="s">
        <v>41</v>
      </c>
      <c r="AJ15" s="206" t="s">
        <v>42</v>
      </c>
      <c r="AK15" s="206" t="s">
        <v>43</v>
      </c>
      <c r="AL15" s="206" t="s">
        <v>44</v>
      </c>
      <c r="AM15" s="33" t="s">
        <v>45</v>
      </c>
      <c r="AN15" s="33" t="s">
        <v>1781</v>
      </c>
      <c r="AO15" s="33" t="s">
        <v>46</v>
      </c>
      <c r="AP15" s="33" t="s">
        <v>2193</v>
      </c>
      <c r="AQ15" s="33" t="s">
        <v>1822</v>
      </c>
      <c r="AR15" s="33" t="s">
        <v>2194</v>
      </c>
      <c r="AS15" s="33" t="s">
        <v>41</v>
      </c>
      <c r="AT15" s="33" t="s">
        <v>42</v>
      </c>
      <c r="AU15" s="33" t="s">
        <v>43</v>
      </c>
      <c r="AV15" s="33" t="s">
        <v>44</v>
      </c>
      <c r="AW15" s="1955" t="s">
        <v>2487</v>
      </c>
      <c r="AX15" s="1955" t="s">
        <v>2488</v>
      </c>
      <c r="AY15" s="1955" t="s">
        <v>48</v>
      </c>
      <c r="AZ15" s="1955" t="s">
        <v>2453</v>
      </c>
      <c r="BA15" s="1955" t="s">
        <v>1822</v>
      </c>
      <c r="BB15" s="1955" t="s">
        <v>2454</v>
      </c>
      <c r="BC15" s="1955" t="s">
        <v>41</v>
      </c>
      <c r="BD15" s="1955" t="s">
        <v>42</v>
      </c>
      <c r="BE15" s="1955" t="s">
        <v>43</v>
      </c>
      <c r="BF15" s="1955" t="s">
        <v>44</v>
      </c>
      <c r="BG15" s="2414" t="s">
        <v>49</v>
      </c>
      <c r="BH15" s="2414" t="s">
        <v>1781</v>
      </c>
      <c r="BI15" s="2414" t="s">
        <v>50</v>
      </c>
      <c r="BJ15" s="2414" t="s">
        <v>2946</v>
      </c>
      <c r="BK15" s="2414" t="s">
        <v>1822</v>
      </c>
      <c r="BL15" s="2414" t="s">
        <v>2858</v>
      </c>
      <c r="BM15" s="2414" t="s">
        <v>41</v>
      </c>
      <c r="BN15" s="2414" t="s">
        <v>42</v>
      </c>
      <c r="BO15" s="2414" t="s">
        <v>43</v>
      </c>
      <c r="BP15" s="2414" t="s">
        <v>44</v>
      </c>
    </row>
    <row r="16" spans="1:68" s="211" customFormat="1" ht="57" customHeight="1" thickBot="1">
      <c r="A16" s="2658">
        <v>1</v>
      </c>
      <c r="B16" s="2658" t="s">
        <v>293</v>
      </c>
      <c r="C16" s="2777" t="s">
        <v>294</v>
      </c>
      <c r="D16" s="423" t="s">
        <v>295</v>
      </c>
      <c r="E16" s="207" t="s">
        <v>72</v>
      </c>
      <c r="F16" s="110">
        <v>1</v>
      </c>
      <c r="G16" s="111" t="s">
        <v>296</v>
      </c>
      <c r="H16" s="112" t="s">
        <v>297</v>
      </c>
      <c r="I16" s="214">
        <v>0.01</v>
      </c>
      <c r="J16" s="112" t="s">
        <v>72</v>
      </c>
      <c r="K16" s="113">
        <v>42037</v>
      </c>
      <c r="L16" s="43" t="s">
        <v>298</v>
      </c>
      <c r="M16" s="44"/>
      <c r="N16" s="44">
        <v>1</v>
      </c>
      <c r="O16" s="44"/>
      <c r="P16" s="44"/>
      <c r="Q16" s="44"/>
      <c r="R16" s="44"/>
      <c r="S16" s="44"/>
      <c r="T16" s="44"/>
      <c r="U16" s="44"/>
      <c r="V16" s="44"/>
      <c r="W16" s="44"/>
      <c r="X16" s="44"/>
      <c r="Y16" s="45">
        <f>+SUM(M16:X16)</f>
        <v>1</v>
      </c>
      <c r="Z16" s="75">
        <v>0</v>
      </c>
      <c r="AA16" s="97" t="s">
        <v>1090</v>
      </c>
      <c r="AB16" s="1552">
        <f>M16+N16</f>
        <v>1</v>
      </c>
      <c r="AC16" s="1335">
        <f>IF(AB16=0,0%,100%)</f>
        <v>1</v>
      </c>
      <c r="AD16" s="1552">
        <v>1</v>
      </c>
      <c r="AE16" s="1335">
        <f>AD16/AB16</f>
        <v>1</v>
      </c>
      <c r="AF16" s="1630">
        <f>AD16/Y16</f>
        <v>1</v>
      </c>
      <c r="AG16" s="1335">
        <f>AF16</f>
        <v>1</v>
      </c>
      <c r="AH16" s="1335"/>
      <c r="AI16" s="1334"/>
      <c r="AJ16" s="1335"/>
      <c r="AK16" s="1334" t="s">
        <v>1837</v>
      </c>
      <c r="AL16" s="1334"/>
      <c r="AM16" s="1692">
        <f>SUM(M16:P16)</f>
        <v>1</v>
      </c>
      <c r="AN16" s="1699">
        <f aca="true" t="shared" si="0" ref="AN16:AN74">IF(AM16=0,0%,100%)</f>
        <v>1</v>
      </c>
      <c r="AO16" s="1697">
        <v>0</v>
      </c>
      <c r="AP16" s="1699">
        <f>AO16/AM16</f>
        <v>0</v>
      </c>
      <c r="AQ16" s="1699">
        <f>AO16/Y16</f>
        <v>0</v>
      </c>
      <c r="AR16" s="1699">
        <f aca="true" t="shared" si="1" ref="AR16:AR73">IF(AN16&gt;0,AP16,"-")</f>
        <v>0</v>
      </c>
      <c r="AS16" s="1743">
        <v>0</v>
      </c>
      <c r="AT16" s="1699">
        <v>0</v>
      </c>
      <c r="AU16" s="1692" t="s">
        <v>2269</v>
      </c>
      <c r="AV16" s="1692"/>
      <c r="AW16" s="210">
        <f>SUM(M16:R16)</f>
        <v>1</v>
      </c>
      <c r="AX16" s="1951">
        <f aca="true" t="shared" si="2" ref="AX16:AX58">IF(AW16=0,0%,100%)</f>
        <v>1</v>
      </c>
      <c r="AY16" s="1952">
        <v>1</v>
      </c>
      <c r="AZ16" s="1951">
        <f>AY16/AW16</f>
        <v>1</v>
      </c>
      <c r="BA16" s="1951">
        <f>AY16/Y16</f>
        <v>1</v>
      </c>
      <c r="BB16" s="1951">
        <f aca="true" t="shared" si="3" ref="BB16:BB55">IF(AX16&gt;0,AZ16,"-")</f>
        <v>1</v>
      </c>
      <c r="BC16" s="1954">
        <v>0</v>
      </c>
      <c r="BD16" s="1951">
        <v>0</v>
      </c>
      <c r="BE16" s="210"/>
      <c r="BF16" s="2415"/>
      <c r="BG16" s="2417">
        <f>SUM(M16:T16)</f>
        <v>1</v>
      </c>
      <c r="BH16" s="2491">
        <f aca="true" t="shared" si="4" ref="BH16:BH74">IF(BG16=0,0%,100%)</f>
        <v>1</v>
      </c>
      <c r="BI16" s="2418">
        <v>1</v>
      </c>
      <c r="BJ16" s="2491">
        <v>1</v>
      </c>
      <c r="BK16" s="2418"/>
      <c r="BL16" s="2491">
        <v>1</v>
      </c>
      <c r="BM16" s="2418"/>
      <c r="BN16" s="2418"/>
      <c r="BO16" s="2418"/>
      <c r="BP16" s="2419"/>
    </row>
    <row r="17" spans="1:68" s="211" customFormat="1" ht="64.5" thickBot="1">
      <c r="A17" s="2655"/>
      <c r="B17" s="2655"/>
      <c r="C17" s="2657"/>
      <c r="D17" s="423" t="s">
        <v>299</v>
      </c>
      <c r="E17" s="207" t="s">
        <v>300</v>
      </c>
      <c r="F17" s="110">
        <v>5</v>
      </c>
      <c r="G17" s="111" t="s">
        <v>301</v>
      </c>
      <c r="H17" s="112" t="s">
        <v>302</v>
      </c>
      <c r="I17" s="214">
        <v>0.01</v>
      </c>
      <c r="J17" s="112" t="s">
        <v>303</v>
      </c>
      <c r="K17" s="113">
        <v>42156</v>
      </c>
      <c r="L17" s="43">
        <v>42248</v>
      </c>
      <c r="M17" s="44"/>
      <c r="N17" s="44"/>
      <c r="O17" s="44"/>
      <c r="P17" s="44"/>
      <c r="Q17" s="44"/>
      <c r="R17" s="44">
        <v>1</v>
      </c>
      <c r="S17" s="44">
        <v>1</v>
      </c>
      <c r="T17" s="44">
        <v>1</v>
      </c>
      <c r="U17" s="44">
        <v>1</v>
      </c>
      <c r="V17" s="44">
        <v>1</v>
      </c>
      <c r="W17" s="44"/>
      <c r="X17" s="44"/>
      <c r="Y17" s="45">
        <f aca="true" t="shared" si="5" ref="Y17:Y64">+SUM(M17:X17)</f>
        <v>5</v>
      </c>
      <c r="Z17" s="75">
        <v>0</v>
      </c>
      <c r="AA17" s="97" t="s">
        <v>1090</v>
      </c>
      <c r="AB17" s="1552">
        <f aca="true" t="shared" si="6" ref="AB17:AB64">M17+N17</f>
        <v>0</v>
      </c>
      <c r="AC17" s="1335">
        <f aca="true" t="shared" si="7" ref="AC17:AC74">IF(AB17=0,0%,100%)</f>
        <v>0</v>
      </c>
      <c r="AD17" s="1552">
        <v>0</v>
      </c>
      <c r="AE17" s="1335" t="s">
        <v>1090</v>
      </c>
      <c r="AF17" s="1630">
        <f aca="true" t="shared" si="8" ref="AF17:AF64">AD17/Y17</f>
        <v>0</v>
      </c>
      <c r="AG17" s="1335">
        <f aca="true" t="shared" si="9" ref="AG17:AG64">AF17</f>
        <v>0</v>
      </c>
      <c r="AH17" s="1335"/>
      <c r="AI17" s="1334"/>
      <c r="AJ17" s="1335"/>
      <c r="AK17" s="1344" t="s">
        <v>1838</v>
      </c>
      <c r="AL17" s="1334"/>
      <c r="AM17" s="1692">
        <f aca="true" t="shared" si="10" ref="AM17:AM64">SUM(M17:P17)</f>
        <v>0</v>
      </c>
      <c r="AN17" s="1699">
        <f t="shared" si="0"/>
        <v>0</v>
      </c>
      <c r="AO17" s="1697">
        <v>0</v>
      </c>
      <c r="AP17" s="1699" t="s">
        <v>1090</v>
      </c>
      <c r="AQ17" s="1699">
        <f aca="true" t="shared" si="11" ref="AQ17:AQ63">AO17/Y17</f>
        <v>0</v>
      </c>
      <c r="AR17" s="1699">
        <v>0</v>
      </c>
      <c r="AS17" s="1743">
        <v>0</v>
      </c>
      <c r="AT17" s="1699">
        <v>0</v>
      </c>
      <c r="AU17" s="1692"/>
      <c r="AV17" s="1692"/>
      <c r="AW17" s="210">
        <f aca="true" t="shared" si="12" ref="AW17:AW58">SUM(M17:R17)</f>
        <v>1</v>
      </c>
      <c r="AX17" s="1951">
        <f t="shared" si="2"/>
        <v>1</v>
      </c>
      <c r="AY17" s="1952">
        <v>1</v>
      </c>
      <c r="AZ17" s="1951">
        <f>AY17/AW17</f>
        <v>1</v>
      </c>
      <c r="BA17" s="1951">
        <f aca="true" t="shared" si="13" ref="BA17:BA58">AY17/Y17</f>
        <v>0.2</v>
      </c>
      <c r="BB17" s="1951">
        <f>AY17/Y17</f>
        <v>0.2</v>
      </c>
      <c r="BC17" s="1954">
        <v>0</v>
      </c>
      <c r="BD17" s="1951">
        <v>0</v>
      </c>
      <c r="BE17" s="210" t="s">
        <v>2485</v>
      </c>
      <c r="BF17" s="2415"/>
      <c r="BG17" s="2417">
        <f aca="true" t="shared" si="14" ref="BG17:BG64">SUM(M17:T17)</f>
        <v>3</v>
      </c>
      <c r="BH17" s="2491">
        <f t="shared" si="4"/>
        <v>1</v>
      </c>
      <c r="BI17" s="2416">
        <v>2</v>
      </c>
      <c r="BJ17" s="2492">
        <f>BI17/BG17</f>
        <v>0.6666666666666666</v>
      </c>
      <c r="BK17" s="2416"/>
      <c r="BL17" s="2492">
        <f>BI17/Y17</f>
        <v>0.4</v>
      </c>
      <c r="BM17" s="2416"/>
      <c r="BN17" s="2416"/>
      <c r="BO17" s="2416" t="s">
        <v>2989</v>
      </c>
      <c r="BP17" s="2421"/>
    </row>
    <row r="18" spans="1:68" s="211" customFormat="1" ht="61.5" customHeight="1" thickBot="1">
      <c r="A18" s="2655"/>
      <c r="B18" s="2655"/>
      <c r="C18" s="2657"/>
      <c r="D18" s="423" t="s">
        <v>304</v>
      </c>
      <c r="E18" s="207" t="s">
        <v>305</v>
      </c>
      <c r="F18" s="110">
        <v>11</v>
      </c>
      <c r="G18" s="111" t="s">
        <v>306</v>
      </c>
      <c r="H18" s="112" t="s">
        <v>307</v>
      </c>
      <c r="I18" s="214">
        <v>0.01</v>
      </c>
      <c r="J18" s="112" t="s">
        <v>308</v>
      </c>
      <c r="K18" s="113">
        <v>42037</v>
      </c>
      <c r="L18" s="43">
        <v>42369</v>
      </c>
      <c r="M18" s="44"/>
      <c r="N18" s="44">
        <v>1</v>
      </c>
      <c r="O18" s="44">
        <v>1</v>
      </c>
      <c r="P18" s="44">
        <v>1</v>
      </c>
      <c r="Q18" s="44">
        <v>1</v>
      </c>
      <c r="R18" s="44">
        <v>1</v>
      </c>
      <c r="S18" s="44">
        <v>1</v>
      </c>
      <c r="T18" s="44">
        <v>1</v>
      </c>
      <c r="U18" s="44">
        <v>1</v>
      </c>
      <c r="V18" s="44">
        <v>1</v>
      </c>
      <c r="W18" s="44">
        <v>1</v>
      </c>
      <c r="X18" s="44">
        <v>1</v>
      </c>
      <c r="Y18" s="45">
        <f t="shared" si="5"/>
        <v>11</v>
      </c>
      <c r="Z18" s="75">
        <v>0</v>
      </c>
      <c r="AA18" s="97" t="s">
        <v>1090</v>
      </c>
      <c r="AB18" s="1552">
        <f t="shared" si="6"/>
        <v>1</v>
      </c>
      <c r="AC18" s="1335">
        <f t="shared" si="7"/>
        <v>1</v>
      </c>
      <c r="AD18" s="1552">
        <v>1</v>
      </c>
      <c r="AE18" s="1335">
        <f aca="true" t="shared" si="15" ref="AE18:AE69">AD18/AB18</f>
        <v>1</v>
      </c>
      <c r="AF18" s="1630">
        <f t="shared" si="8"/>
        <v>0.09090909090909091</v>
      </c>
      <c r="AG18" s="1335">
        <f t="shared" si="9"/>
        <v>0.09090909090909091</v>
      </c>
      <c r="AH18" s="1335"/>
      <c r="AI18" s="1334"/>
      <c r="AJ18" s="1335"/>
      <c r="AK18" s="1334" t="s">
        <v>1839</v>
      </c>
      <c r="AL18" s="1334"/>
      <c r="AM18" s="1692">
        <f t="shared" si="10"/>
        <v>3</v>
      </c>
      <c r="AN18" s="1699">
        <f t="shared" si="0"/>
        <v>1</v>
      </c>
      <c r="AO18" s="1697">
        <v>2</v>
      </c>
      <c r="AP18" s="1699">
        <f aca="true" t="shared" si="16" ref="AP18:AP63">AO18/AM18</f>
        <v>0.6666666666666666</v>
      </c>
      <c r="AQ18" s="1699">
        <f t="shared" si="11"/>
        <v>0.18181818181818182</v>
      </c>
      <c r="AR18" s="1699">
        <f t="shared" si="1"/>
        <v>0.6666666666666666</v>
      </c>
      <c r="AS18" s="1743">
        <v>0</v>
      </c>
      <c r="AT18" s="1699">
        <v>0</v>
      </c>
      <c r="AU18" s="1692" t="s">
        <v>2270</v>
      </c>
      <c r="AV18" s="1692"/>
      <c r="AW18" s="210">
        <f t="shared" si="12"/>
        <v>5</v>
      </c>
      <c r="AX18" s="1951">
        <f t="shared" si="2"/>
        <v>1</v>
      </c>
      <c r="AY18" s="1952">
        <v>1</v>
      </c>
      <c r="AZ18" s="1951">
        <f aca="true" t="shared" si="17" ref="AZ18:AZ56">AY18/AW18</f>
        <v>0.2</v>
      </c>
      <c r="BA18" s="1951">
        <f t="shared" si="13"/>
        <v>0.09090909090909091</v>
      </c>
      <c r="BB18" s="1951">
        <v>0.4</v>
      </c>
      <c r="BC18" s="1954">
        <v>0</v>
      </c>
      <c r="BD18" s="1951">
        <v>0</v>
      </c>
      <c r="BE18" s="210" t="s">
        <v>2455</v>
      </c>
      <c r="BF18" s="2415" t="s">
        <v>2467</v>
      </c>
      <c r="BG18" s="2417">
        <f t="shared" si="14"/>
        <v>7</v>
      </c>
      <c r="BH18" s="2491">
        <f t="shared" si="4"/>
        <v>1</v>
      </c>
      <c r="BI18" s="2416">
        <v>6</v>
      </c>
      <c r="BJ18" s="2492">
        <f>BI18/BG18</f>
        <v>0.8571428571428571</v>
      </c>
      <c r="BK18" s="2416"/>
      <c r="BL18" s="2492">
        <f>BI18/Y18</f>
        <v>0.5454545454545454</v>
      </c>
      <c r="BM18" s="2416"/>
      <c r="BN18" s="2416"/>
      <c r="BO18" s="2416" t="s">
        <v>2990</v>
      </c>
      <c r="BP18" s="2421"/>
    </row>
    <row r="19" spans="1:68" s="211" customFormat="1" ht="68.25" customHeight="1" thickBot="1">
      <c r="A19" s="2655"/>
      <c r="B19" s="2655"/>
      <c r="C19" s="2657"/>
      <c r="D19" s="423" t="s">
        <v>309</v>
      </c>
      <c r="E19" s="207" t="s">
        <v>310</v>
      </c>
      <c r="F19" s="110">
        <v>50</v>
      </c>
      <c r="G19" s="111" t="s">
        <v>311</v>
      </c>
      <c r="H19" s="112" t="s">
        <v>312</v>
      </c>
      <c r="I19" s="214">
        <v>0.01</v>
      </c>
      <c r="J19" s="112" t="s">
        <v>313</v>
      </c>
      <c r="K19" s="113">
        <v>42037</v>
      </c>
      <c r="L19" s="43">
        <v>42369</v>
      </c>
      <c r="M19" s="44">
        <f>50/12</f>
        <v>4.166666666666667</v>
      </c>
      <c r="N19" s="44">
        <f aca="true" t="shared" si="18" ref="N19:X19">50/12</f>
        <v>4.166666666666667</v>
      </c>
      <c r="O19" s="44">
        <f t="shared" si="18"/>
        <v>4.166666666666667</v>
      </c>
      <c r="P19" s="44">
        <f t="shared" si="18"/>
        <v>4.166666666666667</v>
      </c>
      <c r="Q19" s="44">
        <f t="shared" si="18"/>
        <v>4.166666666666667</v>
      </c>
      <c r="R19" s="44">
        <f t="shared" si="18"/>
        <v>4.166666666666667</v>
      </c>
      <c r="S19" s="44">
        <f t="shared" si="18"/>
        <v>4.166666666666667</v>
      </c>
      <c r="T19" s="44">
        <f t="shared" si="18"/>
        <v>4.166666666666667</v>
      </c>
      <c r="U19" s="44">
        <f t="shared" si="18"/>
        <v>4.166666666666667</v>
      </c>
      <c r="V19" s="44">
        <f t="shared" si="18"/>
        <v>4.166666666666667</v>
      </c>
      <c r="W19" s="44">
        <f t="shared" si="18"/>
        <v>4.166666666666667</v>
      </c>
      <c r="X19" s="44">
        <f t="shared" si="18"/>
        <v>4.166666666666667</v>
      </c>
      <c r="Y19" s="45">
        <f t="shared" si="5"/>
        <v>49.99999999999999</v>
      </c>
      <c r="Z19" s="75">
        <v>0</v>
      </c>
      <c r="AA19" s="97" t="s">
        <v>1090</v>
      </c>
      <c r="AB19" s="1552">
        <f t="shared" si="6"/>
        <v>8.333333333333334</v>
      </c>
      <c r="AC19" s="1335">
        <f t="shared" si="7"/>
        <v>1</v>
      </c>
      <c r="AD19" s="1552">
        <v>109</v>
      </c>
      <c r="AE19" s="1335">
        <f t="shared" si="15"/>
        <v>13.079999999999998</v>
      </c>
      <c r="AF19" s="1630">
        <f t="shared" si="8"/>
        <v>2.18</v>
      </c>
      <c r="AG19" s="1335">
        <f t="shared" si="9"/>
        <v>2.18</v>
      </c>
      <c r="AH19" s="1335"/>
      <c r="AI19" s="1334"/>
      <c r="AJ19" s="1335"/>
      <c r="AK19" s="1334" t="s">
        <v>1840</v>
      </c>
      <c r="AL19" s="1334"/>
      <c r="AM19" s="1692">
        <f t="shared" si="10"/>
        <v>16.666666666666668</v>
      </c>
      <c r="AN19" s="1699">
        <f t="shared" si="0"/>
        <v>1</v>
      </c>
      <c r="AO19" s="1697">
        <v>150</v>
      </c>
      <c r="AP19" s="1699">
        <v>1</v>
      </c>
      <c r="AQ19" s="1699">
        <v>1</v>
      </c>
      <c r="AR19" s="1699">
        <f t="shared" si="1"/>
        <v>1</v>
      </c>
      <c r="AS19" s="1743">
        <v>0</v>
      </c>
      <c r="AT19" s="1699">
        <v>0</v>
      </c>
      <c r="AU19" s="1692" t="s">
        <v>2271</v>
      </c>
      <c r="AV19" s="1692"/>
      <c r="AW19" s="210">
        <f t="shared" si="12"/>
        <v>25.000000000000004</v>
      </c>
      <c r="AX19" s="1951">
        <f t="shared" si="2"/>
        <v>1</v>
      </c>
      <c r="AY19" s="1952">
        <v>118</v>
      </c>
      <c r="AZ19" s="1951">
        <v>1</v>
      </c>
      <c r="BA19" s="1951">
        <v>1</v>
      </c>
      <c r="BB19" s="1951">
        <f t="shared" si="3"/>
        <v>1</v>
      </c>
      <c r="BC19" s="1954">
        <v>0</v>
      </c>
      <c r="BD19" s="1951">
        <v>0</v>
      </c>
      <c r="BE19" s="210" t="s">
        <v>2483</v>
      </c>
      <c r="BF19" s="2415"/>
      <c r="BG19" s="2417">
        <f t="shared" si="14"/>
        <v>33.333333333333336</v>
      </c>
      <c r="BH19" s="2491">
        <f t="shared" si="4"/>
        <v>1</v>
      </c>
      <c r="BI19" s="2416">
        <v>166</v>
      </c>
      <c r="BJ19" s="2492">
        <v>1</v>
      </c>
      <c r="BK19" s="2416"/>
      <c r="BL19" s="2492">
        <v>1</v>
      </c>
      <c r="BM19" s="2416"/>
      <c r="BN19" s="2416"/>
      <c r="BO19" s="2416" t="s">
        <v>2991</v>
      </c>
      <c r="BP19" s="2421"/>
    </row>
    <row r="20" spans="1:68" s="211" customFormat="1" ht="103.5" customHeight="1" thickBot="1">
      <c r="A20" s="2655"/>
      <c r="B20" s="2655"/>
      <c r="C20" s="2657"/>
      <c r="D20" s="423" t="s">
        <v>314</v>
      </c>
      <c r="E20" s="207" t="s">
        <v>315</v>
      </c>
      <c r="F20" s="110">
        <v>1</v>
      </c>
      <c r="G20" s="111" t="s">
        <v>316</v>
      </c>
      <c r="H20" s="112" t="s">
        <v>317</v>
      </c>
      <c r="I20" s="214">
        <v>0.01</v>
      </c>
      <c r="J20" s="112" t="s">
        <v>318</v>
      </c>
      <c r="K20" s="113">
        <v>42044</v>
      </c>
      <c r="L20" s="43">
        <v>42045</v>
      </c>
      <c r="M20" s="44"/>
      <c r="N20" s="44"/>
      <c r="O20" s="44"/>
      <c r="P20" s="44"/>
      <c r="Q20" s="44"/>
      <c r="R20" s="44"/>
      <c r="S20" s="44"/>
      <c r="T20" s="44"/>
      <c r="U20" s="44"/>
      <c r="V20" s="44">
        <v>1</v>
      </c>
      <c r="W20" s="44"/>
      <c r="X20" s="44"/>
      <c r="Y20" s="45">
        <f t="shared" si="5"/>
        <v>1</v>
      </c>
      <c r="Z20" s="75">
        <v>50000000</v>
      </c>
      <c r="AA20" s="97" t="s">
        <v>1090</v>
      </c>
      <c r="AB20" s="1552">
        <f t="shared" si="6"/>
        <v>0</v>
      </c>
      <c r="AC20" s="1335">
        <f t="shared" si="7"/>
        <v>0</v>
      </c>
      <c r="AD20" s="1552">
        <v>0</v>
      </c>
      <c r="AE20" s="1335" t="s">
        <v>1090</v>
      </c>
      <c r="AF20" s="1630">
        <f t="shared" si="8"/>
        <v>0</v>
      </c>
      <c r="AG20" s="1335">
        <f t="shared" si="9"/>
        <v>0</v>
      </c>
      <c r="AH20" s="1335"/>
      <c r="AI20" s="1334"/>
      <c r="AJ20" s="1335"/>
      <c r="AK20" s="1334"/>
      <c r="AL20" s="1334"/>
      <c r="AM20" s="1692">
        <f t="shared" si="10"/>
        <v>0</v>
      </c>
      <c r="AN20" s="1699">
        <f t="shared" si="0"/>
        <v>0</v>
      </c>
      <c r="AO20" s="1697">
        <v>0</v>
      </c>
      <c r="AP20" s="1699" t="s">
        <v>1090</v>
      </c>
      <c r="AQ20" s="1699">
        <f t="shared" si="11"/>
        <v>0</v>
      </c>
      <c r="AR20" s="1699">
        <v>0</v>
      </c>
      <c r="AS20" s="1743">
        <v>0</v>
      </c>
      <c r="AT20" s="1699">
        <v>0</v>
      </c>
      <c r="AU20" s="1692"/>
      <c r="AV20" s="1692"/>
      <c r="AW20" s="210">
        <f t="shared" si="12"/>
        <v>0</v>
      </c>
      <c r="AX20" s="1951">
        <f t="shared" si="2"/>
        <v>0</v>
      </c>
      <c r="AY20" s="1952">
        <v>0</v>
      </c>
      <c r="AZ20" s="1951" t="s">
        <v>1090</v>
      </c>
      <c r="BA20" s="1951">
        <f t="shared" si="13"/>
        <v>0</v>
      </c>
      <c r="BB20" s="1951">
        <v>0</v>
      </c>
      <c r="BC20" s="1954">
        <v>0</v>
      </c>
      <c r="BD20" s="1951">
        <v>0</v>
      </c>
      <c r="BE20" s="210"/>
      <c r="BF20" s="2415"/>
      <c r="BG20" s="2417">
        <f t="shared" si="14"/>
        <v>0</v>
      </c>
      <c r="BH20" s="2491">
        <f t="shared" si="4"/>
        <v>0</v>
      </c>
      <c r="BI20" s="2416" t="s">
        <v>1090</v>
      </c>
      <c r="BJ20" s="2492" t="s">
        <v>1090</v>
      </c>
      <c r="BK20" s="2416"/>
      <c r="BL20" s="2492">
        <v>0</v>
      </c>
      <c r="BM20" s="2416"/>
      <c r="BN20" s="2416"/>
      <c r="BO20" s="2416" t="s">
        <v>2992</v>
      </c>
      <c r="BP20" s="2421"/>
    </row>
    <row r="21" spans="1:68" s="211" customFormat="1" ht="141" thickBot="1">
      <c r="A21" s="2655"/>
      <c r="B21" s="2655"/>
      <c r="C21" s="2657"/>
      <c r="D21" s="423" t="s">
        <v>319</v>
      </c>
      <c r="E21" s="207" t="s">
        <v>320</v>
      </c>
      <c r="F21" s="110">
        <v>10</v>
      </c>
      <c r="G21" s="111" t="s">
        <v>321</v>
      </c>
      <c r="H21" s="112" t="s">
        <v>322</v>
      </c>
      <c r="I21" s="214">
        <v>0.01</v>
      </c>
      <c r="J21" s="112" t="s">
        <v>320</v>
      </c>
      <c r="K21" s="113">
        <v>42005</v>
      </c>
      <c r="L21" s="43">
        <v>42369</v>
      </c>
      <c r="M21" s="44"/>
      <c r="N21" s="44"/>
      <c r="O21" s="44">
        <v>1</v>
      </c>
      <c r="P21" s="44">
        <v>1</v>
      </c>
      <c r="Q21" s="44">
        <v>1</v>
      </c>
      <c r="R21" s="44">
        <v>1</v>
      </c>
      <c r="S21" s="44">
        <v>1</v>
      </c>
      <c r="T21" s="44">
        <v>1</v>
      </c>
      <c r="U21" s="44">
        <v>1</v>
      </c>
      <c r="V21" s="44">
        <v>1</v>
      </c>
      <c r="W21" s="44">
        <v>1</v>
      </c>
      <c r="X21" s="44">
        <v>1</v>
      </c>
      <c r="Y21" s="45">
        <f t="shared" si="5"/>
        <v>10</v>
      </c>
      <c r="Z21" s="75">
        <v>0</v>
      </c>
      <c r="AA21" s="97" t="s">
        <v>1090</v>
      </c>
      <c r="AB21" s="1552">
        <f t="shared" si="6"/>
        <v>0</v>
      </c>
      <c r="AC21" s="1335">
        <f t="shared" si="7"/>
        <v>0</v>
      </c>
      <c r="AD21" s="1552">
        <v>2</v>
      </c>
      <c r="AE21" s="1335" t="s">
        <v>1090</v>
      </c>
      <c r="AF21" s="1630">
        <f t="shared" si="8"/>
        <v>0.2</v>
      </c>
      <c r="AG21" s="1335">
        <f t="shared" si="9"/>
        <v>0.2</v>
      </c>
      <c r="AH21" s="1335"/>
      <c r="AI21" s="1334"/>
      <c r="AJ21" s="1335"/>
      <c r="AK21" s="1334" t="s">
        <v>1841</v>
      </c>
      <c r="AL21" s="1334"/>
      <c r="AM21" s="1692">
        <f t="shared" si="10"/>
        <v>2</v>
      </c>
      <c r="AN21" s="1699">
        <f t="shared" si="0"/>
        <v>1</v>
      </c>
      <c r="AO21" s="1697">
        <v>3</v>
      </c>
      <c r="AP21" s="1699">
        <v>1</v>
      </c>
      <c r="AQ21" s="1699">
        <f t="shared" si="11"/>
        <v>0.3</v>
      </c>
      <c r="AR21" s="1699">
        <f t="shared" si="1"/>
        <v>1</v>
      </c>
      <c r="AS21" s="1743">
        <v>0</v>
      </c>
      <c r="AT21" s="1699">
        <v>0</v>
      </c>
      <c r="AU21" s="1692" t="s">
        <v>2272</v>
      </c>
      <c r="AV21" s="1692"/>
      <c r="AW21" s="210">
        <f t="shared" si="12"/>
        <v>4</v>
      </c>
      <c r="AX21" s="1951">
        <f t="shared" si="2"/>
        <v>1</v>
      </c>
      <c r="AY21" s="1952">
        <v>3</v>
      </c>
      <c r="AZ21" s="1951">
        <f t="shared" si="17"/>
        <v>0.75</v>
      </c>
      <c r="BA21" s="1951">
        <f t="shared" si="13"/>
        <v>0.3</v>
      </c>
      <c r="BB21" s="1951">
        <f t="shared" si="3"/>
        <v>0.75</v>
      </c>
      <c r="BC21" s="1954">
        <v>0</v>
      </c>
      <c r="BD21" s="1951">
        <v>0</v>
      </c>
      <c r="BE21" s="210" t="s">
        <v>2481</v>
      </c>
      <c r="BF21" s="2415"/>
      <c r="BG21" s="2417">
        <f t="shared" si="14"/>
        <v>6</v>
      </c>
      <c r="BH21" s="2491">
        <f t="shared" si="4"/>
        <v>1</v>
      </c>
      <c r="BI21" s="2416">
        <v>6</v>
      </c>
      <c r="BJ21" s="2492">
        <v>1</v>
      </c>
      <c r="BK21" s="2416"/>
      <c r="BL21" s="2492">
        <f>BI21/Y21</f>
        <v>0.6</v>
      </c>
      <c r="BM21" s="2416"/>
      <c r="BN21" s="2416"/>
      <c r="BO21" s="2416" t="s">
        <v>2993</v>
      </c>
      <c r="BP21" s="2421"/>
    </row>
    <row r="22" spans="1:68" s="211" customFormat="1" ht="88.5" customHeight="1" thickBot="1">
      <c r="A22" s="2655"/>
      <c r="B22" s="2655"/>
      <c r="C22" s="2657"/>
      <c r="D22" s="423" t="s">
        <v>323</v>
      </c>
      <c r="E22" s="207" t="s">
        <v>324</v>
      </c>
      <c r="F22" s="110">
        <v>1</v>
      </c>
      <c r="G22" s="111" t="s">
        <v>325</v>
      </c>
      <c r="H22" s="112" t="s">
        <v>326</v>
      </c>
      <c r="I22" s="214">
        <v>0.01</v>
      </c>
      <c r="J22" s="112" t="s">
        <v>324</v>
      </c>
      <c r="K22" s="113">
        <v>42066</v>
      </c>
      <c r="L22" s="43">
        <v>42369</v>
      </c>
      <c r="M22" s="44"/>
      <c r="N22" s="44"/>
      <c r="O22" s="44">
        <v>1</v>
      </c>
      <c r="P22" s="44"/>
      <c r="Q22" s="44"/>
      <c r="R22" s="44"/>
      <c r="S22" s="44"/>
      <c r="T22" s="44"/>
      <c r="U22" s="44"/>
      <c r="V22" s="44"/>
      <c r="W22" s="44"/>
      <c r="X22" s="44"/>
      <c r="Y22" s="45">
        <f t="shared" si="5"/>
        <v>1</v>
      </c>
      <c r="Z22" s="75">
        <v>520000000</v>
      </c>
      <c r="AA22" s="97" t="s">
        <v>1090</v>
      </c>
      <c r="AB22" s="1552">
        <f t="shared" si="6"/>
        <v>0</v>
      </c>
      <c r="AC22" s="1335">
        <f t="shared" si="7"/>
        <v>0</v>
      </c>
      <c r="AD22" s="1552">
        <v>0</v>
      </c>
      <c r="AE22" s="1335" t="s">
        <v>1090</v>
      </c>
      <c r="AF22" s="1630">
        <f t="shared" si="8"/>
        <v>0</v>
      </c>
      <c r="AG22" s="1335">
        <f t="shared" si="9"/>
        <v>0</v>
      </c>
      <c r="AH22" s="1335"/>
      <c r="AI22" s="1334"/>
      <c r="AJ22" s="1335"/>
      <c r="AK22" s="1334" t="s">
        <v>1842</v>
      </c>
      <c r="AL22" s="1334"/>
      <c r="AM22" s="1692">
        <f t="shared" si="10"/>
        <v>1</v>
      </c>
      <c r="AN22" s="1699">
        <f t="shared" si="0"/>
        <v>1</v>
      </c>
      <c r="AO22" s="1697">
        <v>1</v>
      </c>
      <c r="AP22" s="1699">
        <f t="shared" si="16"/>
        <v>1</v>
      </c>
      <c r="AQ22" s="1699">
        <f t="shared" si="11"/>
        <v>1</v>
      </c>
      <c r="AR22" s="1699">
        <f t="shared" si="1"/>
        <v>1</v>
      </c>
      <c r="AS22" s="1743">
        <v>0</v>
      </c>
      <c r="AT22" s="1699">
        <v>0</v>
      </c>
      <c r="AU22" s="1692" t="s">
        <v>2273</v>
      </c>
      <c r="AV22" s="1692"/>
      <c r="AW22" s="210">
        <f t="shared" si="12"/>
        <v>1</v>
      </c>
      <c r="AX22" s="1951">
        <f t="shared" si="2"/>
        <v>1</v>
      </c>
      <c r="AY22" s="1952">
        <v>1</v>
      </c>
      <c r="AZ22" s="1951">
        <f t="shared" si="17"/>
        <v>1</v>
      </c>
      <c r="BA22" s="1951">
        <f t="shared" si="13"/>
        <v>1</v>
      </c>
      <c r="BB22" s="1951">
        <f t="shared" si="3"/>
        <v>1</v>
      </c>
      <c r="BC22" s="1954">
        <v>0</v>
      </c>
      <c r="BD22" s="1951">
        <v>0</v>
      </c>
      <c r="BE22" s="210" t="s">
        <v>2456</v>
      </c>
      <c r="BF22" s="2415"/>
      <c r="BG22" s="2417">
        <f t="shared" si="14"/>
        <v>1</v>
      </c>
      <c r="BH22" s="2491">
        <f t="shared" si="4"/>
        <v>1</v>
      </c>
      <c r="BI22" s="2416">
        <v>1</v>
      </c>
      <c r="BJ22" s="2492">
        <v>1</v>
      </c>
      <c r="BK22" s="2416"/>
      <c r="BL22" s="2492">
        <v>1</v>
      </c>
      <c r="BM22" s="2416"/>
      <c r="BN22" s="2416"/>
      <c r="BO22" s="2416" t="s">
        <v>2994</v>
      </c>
      <c r="BP22" s="2421"/>
    </row>
    <row r="23" spans="1:68" s="211" customFormat="1" ht="125.25" customHeight="1" thickBot="1">
      <c r="A23" s="2655"/>
      <c r="B23" s="2655"/>
      <c r="C23" s="2657"/>
      <c r="D23" s="423" t="s">
        <v>327</v>
      </c>
      <c r="E23" s="207" t="s">
        <v>328</v>
      </c>
      <c r="F23" s="110">
        <v>6</v>
      </c>
      <c r="G23" s="111" t="s">
        <v>329</v>
      </c>
      <c r="H23" s="112" t="s">
        <v>330</v>
      </c>
      <c r="I23" s="214">
        <v>0.01</v>
      </c>
      <c r="J23" s="112" t="s">
        <v>331</v>
      </c>
      <c r="K23" s="113">
        <v>42066</v>
      </c>
      <c r="L23" s="43">
        <v>42369</v>
      </c>
      <c r="M23" s="44"/>
      <c r="N23" s="44"/>
      <c r="O23" s="44"/>
      <c r="P23" s="44">
        <v>1</v>
      </c>
      <c r="Q23" s="44">
        <v>1</v>
      </c>
      <c r="R23" s="44">
        <v>1</v>
      </c>
      <c r="S23" s="44">
        <v>1</v>
      </c>
      <c r="T23" s="44">
        <v>1</v>
      </c>
      <c r="U23" s="44">
        <v>1</v>
      </c>
      <c r="V23" s="44"/>
      <c r="W23" s="44"/>
      <c r="X23" s="44"/>
      <c r="Y23" s="45">
        <f t="shared" si="5"/>
        <v>6</v>
      </c>
      <c r="Z23" s="75">
        <v>1000000000</v>
      </c>
      <c r="AA23" s="97" t="s">
        <v>1090</v>
      </c>
      <c r="AB23" s="1552">
        <f t="shared" si="6"/>
        <v>0</v>
      </c>
      <c r="AC23" s="1335">
        <f t="shared" si="7"/>
        <v>0</v>
      </c>
      <c r="AD23" s="1552">
        <v>0</v>
      </c>
      <c r="AE23" s="1335" t="s">
        <v>1090</v>
      </c>
      <c r="AF23" s="1630">
        <f t="shared" si="8"/>
        <v>0</v>
      </c>
      <c r="AG23" s="1335">
        <f t="shared" si="9"/>
        <v>0</v>
      </c>
      <c r="AH23" s="1335"/>
      <c r="AI23" s="1334"/>
      <c r="AJ23" s="1335"/>
      <c r="AK23" s="1334" t="s">
        <v>1843</v>
      </c>
      <c r="AL23" s="1334" t="s">
        <v>1844</v>
      </c>
      <c r="AM23" s="1692">
        <f t="shared" si="10"/>
        <v>1</v>
      </c>
      <c r="AN23" s="1699">
        <f t="shared" si="0"/>
        <v>1</v>
      </c>
      <c r="AO23" s="1697">
        <v>1</v>
      </c>
      <c r="AP23" s="1699">
        <f t="shared" si="16"/>
        <v>1</v>
      </c>
      <c r="AQ23" s="1699">
        <f t="shared" si="11"/>
        <v>0.16666666666666666</v>
      </c>
      <c r="AR23" s="1699">
        <f t="shared" si="1"/>
        <v>1</v>
      </c>
      <c r="AS23" s="1743">
        <v>0</v>
      </c>
      <c r="AT23" s="1699">
        <v>0</v>
      </c>
      <c r="AU23" s="1692" t="s">
        <v>2274</v>
      </c>
      <c r="AV23" s="1692"/>
      <c r="AW23" s="210">
        <f t="shared" si="12"/>
        <v>3</v>
      </c>
      <c r="AX23" s="1951">
        <f t="shared" si="2"/>
        <v>1</v>
      </c>
      <c r="AY23" s="1952">
        <v>1</v>
      </c>
      <c r="AZ23" s="1951">
        <f t="shared" si="17"/>
        <v>0.3333333333333333</v>
      </c>
      <c r="BA23" s="1951">
        <f t="shared" si="13"/>
        <v>0.16666666666666666</v>
      </c>
      <c r="BB23" s="1951">
        <f t="shared" si="3"/>
        <v>0.3333333333333333</v>
      </c>
      <c r="BC23" s="1954">
        <v>0</v>
      </c>
      <c r="BD23" s="1951">
        <v>0</v>
      </c>
      <c r="BE23" s="210" t="s">
        <v>2457</v>
      </c>
      <c r="BF23" s="2415" t="s">
        <v>2458</v>
      </c>
      <c r="BG23" s="2417">
        <f t="shared" si="14"/>
        <v>5</v>
      </c>
      <c r="BH23" s="2491">
        <f t="shared" si="4"/>
        <v>1</v>
      </c>
      <c r="BI23" s="2416">
        <v>4</v>
      </c>
      <c r="BJ23" s="2492">
        <f>BI23/BG23</f>
        <v>0.8</v>
      </c>
      <c r="BK23" s="2416"/>
      <c r="BL23" s="2492">
        <f>BI23/Y23</f>
        <v>0.6666666666666666</v>
      </c>
      <c r="BM23" s="2416"/>
      <c r="BN23" s="2416"/>
      <c r="BO23" s="2416" t="s">
        <v>2995</v>
      </c>
      <c r="BP23" s="2421"/>
    </row>
    <row r="24" spans="1:68" s="211" customFormat="1" ht="121.5" customHeight="1" thickBot="1">
      <c r="A24" s="2655"/>
      <c r="B24" s="2655"/>
      <c r="C24" s="2657"/>
      <c r="D24" s="423" t="s">
        <v>332</v>
      </c>
      <c r="E24" s="207" t="s">
        <v>333</v>
      </c>
      <c r="F24" s="110">
        <v>10</v>
      </c>
      <c r="G24" s="111" t="s">
        <v>334</v>
      </c>
      <c r="H24" s="112" t="s">
        <v>335</v>
      </c>
      <c r="I24" s="214">
        <v>0.01</v>
      </c>
      <c r="J24" s="112" t="s">
        <v>336</v>
      </c>
      <c r="K24" s="113">
        <v>42161</v>
      </c>
      <c r="L24" s="43">
        <v>42369</v>
      </c>
      <c r="M24" s="44"/>
      <c r="N24" s="44"/>
      <c r="O24" s="44"/>
      <c r="P24" s="44"/>
      <c r="Q24" s="44"/>
      <c r="R24" s="44">
        <v>2</v>
      </c>
      <c r="S24" s="44">
        <v>2</v>
      </c>
      <c r="T24" s="44">
        <v>2</v>
      </c>
      <c r="U24" s="44">
        <v>2</v>
      </c>
      <c r="V24" s="44">
        <v>2</v>
      </c>
      <c r="W24" s="44"/>
      <c r="X24" s="44"/>
      <c r="Y24" s="45">
        <f t="shared" si="5"/>
        <v>10</v>
      </c>
      <c r="Z24" s="75">
        <v>0</v>
      </c>
      <c r="AA24" s="97" t="s">
        <v>1090</v>
      </c>
      <c r="AB24" s="1552">
        <f t="shared" si="6"/>
        <v>0</v>
      </c>
      <c r="AC24" s="1335">
        <f t="shared" si="7"/>
        <v>0</v>
      </c>
      <c r="AD24" s="1552">
        <v>0</v>
      </c>
      <c r="AE24" s="1335" t="s">
        <v>1090</v>
      </c>
      <c r="AF24" s="1630">
        <f t="shared" si="8"/>
        <v>0</v>
      </c>
      <c r="AG24" s="1335">
        <f t="shared" si="9"/>
        <v>0</v>
      </c>
      <c r="AH24" s="1335"/>
      <c r="AI24" s="1334"/>
      <c r="AJ24" s="1335"/>
      <c r="AK24" s="1334"/>
      <c r="AL24" s="1334"/>
      <c r="AM24" s="1692">
        <f t="shared" si="10"/>
        <v>0</v>
      </c>
      <c r="AN24" s="1699">
        <f t="shared" si="0"/>
        <v>0</v>
      </c>
      <c r="AO24" s="1697">
        <v>11</v>
      </c>
      <c r="AP24" s="1699" t="s">
        <v>1090</v>
      </c>
      <c r="AQ24" s="1699">
        <v>1</v>
      </c>
      <c r="AR24" s="1699">
        <v>0</v>
      </c>
      <c r="AS24" s="1743">
        <v>0</v>
      </c>
      <c r="AT24" s="1699">
        <v>0</v>
      </c>
      <c r="AU24" s="1692" t="s">
        <v>2275</v>
      </c>
      <c r="AV24" s="1692"/>
      <c r="AW24" s="210">
        <f t="shared" si="12"/>
        <v>2</v>
      </c>
      <c r="AX24" s="1951">
        <f t="shared" si="2"/>
        <v>1</v>
      </c>
      <c r="AY24" s="1952">
        <v>5</v>
      </c>
      <c r="AZ24" s="1951">
        <v>1</v>
      </c>
      <c r="BA24" s="1951">
        <f t="shared" si="13"/>
        <v>0.5</v>
      </c>
      <c r="BB24" s="1951">
        <f t="shared" si="3"/>
        <v>1</v>
      </c>
      <c r="BC24" s="1954">
        <v>0</v>
      </c>
      <c r="BD24" s="1951">
        <v>0</v>
      </c>
      <c r="BE24" s="210" t="s">
        <v>2459</v>
      </c>
      <c r="BF24" s="2415"/>
      <c r="BG24" s="2417">
        <f t="shared" si="14"/>
        <v>6</v>
      </c>
      <c r="BH24" s="2491">
        <f t="shared" si="4"/>
        <v>1</v>
      </c>
      <c r="BI24" s="2416">
        <v>6</v>
      </c>
      <c r="BJ24" s="2492">
        <v>1</v>
      </c>
      <c r="BK24" s="2416"/>
      <c r="BL24" s="2492">
        <f>BI24/Y24</f>
        <v>0.6</v>
      </c>
      <c r="BM24" s="2416"/>
      <c r="BN24" s="2416"/>
      <c r="BO24" s="2416" t="s">
        <v>2996</v>
      </c>
      <c r="BP24" s="2421"/>
    </row>
    <row r="25" spans="1:68" s="211" customFormat="1" ht="75" customHeight="1" thickBot="1">
      <c r="A25" s="2655"/>
      <c r="B25" s="2655"/>
      <c r="C25" s="2657"/>
      <c r="D25" s="423" t="s">
        <v>337</v>
      </c>
      <c r="E25" s="207" t="s">
        <v>338</v>
      </c>
      <c r="F25" s="110">
        <v>2</v>
      </c>
      <c r="G25" s="111" t="s">
        <v>339</v>
      </c>
      <c r="H25" s="112" t="s">
        <v>326</v>
      </c>
      <c r="I25" s="214">
        <v>0.01</v>
      </c>
      <c r="J25" s="112" t="s">
        <v>340</v>
      </c>
      <c r="K25" s="113">
        <v>42037</v>
      </c>
      <c r="L25" s="43">
        <v>42369</v>
      </c>
      <c r="M25" s="44"/>
      <c r="N25" s="44"/>
      <c r="O25" s="44"/>
      <c r="P25" s="44"/>
      <c r="Q25" s="44">
        <v>1</v>
      </c>
      <c r="R25" s="44"/>
      <c r="S25" s="44"/>
      <c r="T25" s="44"/>
      <c r="U25" s="44"/>
      <c r="V25" s="44">
        <v>1</v>
      </c>
      <c r="W25" s="44"/>
      <c r="X25" s="44"/>
      <c r="Y25" s="45">
        <f t="shared" si="5"/>
        <v>2</v>
      </c>
      <c r="Z25" s="75">
        <v>0</v>
      </c>
      <c r="AA25" s="97" t="s">
        <v>1090</v>
      </c>
      <c r="AB25" s="1552">
        <f t="shared" si="6"/>
        <v>0</v>
      </c>
      <c r="AC25" s="1335">
        <f t="shared" si="7"/>
        <v>0</v>
      </c>
      <c r="AD25" s="1552">
        <v>0</v>
      </c>
      <c r="AE25" s="1335" t="s">
        <v>1090</v>
      </c>
      <c r="AF25" s="1630">
        <f t="shared" si="8"/>
        <v>0</v>
      </c>
      <c r="AG25" s="1335">
        <f t="shared" si="9"/>
        <v>0</v>
      </c>
      <c r="AH25" s="1335"/>
      <c r="AI25" s="1334"/>
      <c r="AJ25" s="1335"/>
      <c r="AK25" s="1334"/>
      <c r="AL25" s="1334"/>
      <c r="AM25" s="1692">
        <f t="shared" si="10"/>
        <v>0</v>
      </c>
      <c r="AN25" s="1699">
        <f t="shared" si="0"/>
        <v>0</v>
      </c>
      <c r="AO25" s="1697">
        <v>0</v>
      </c>
      <c r="AP25" s="1699" t="s">
        <v>1090</v>
      </c>
      <c r="AQ25" s="1699">
        <f t="shared" si="11"/>
        <v>0</v>
      </c>
      <c r="AR25" s="1699">
        <v>0</v>
      </c>
      <c r="AS25" s="1743">
        <v>0</v>
      </c>
      <c r="AT25" s="1699">
        <v>0</v>
      </c>
      <c r="AU25" s="1692"/>
      <c r="AV25" s="1692"/>
      <c r="AW25" s="210">
        <f t="shared" si="12"/>
        <v>1</v>
      </c>
      <c r="AX25" s="1951">
        <f t="shared" si="2"/>
        <v>1</v>
      </c>
      <c r="AY25" s="1952">
        <v>0</v>
      </c>
      <c r="AZ25" s="1951">
        <f t="shared" si="17"/>
        <v>0</v>
      </c>
      <c r="BA25" s="1951">
        <f t="shared" si="13"/>
        <v>0</v>
      </c>
      <c r="BB25" s="1951">
        <f t="shared" si="3"/>
        <v>0</v>
      </c>
      <c r="BC25" s="1954">
        <v>0</v>
      </c>
      <c r="BD25" s="1951">
        <v>0</v>
      </c>
      <c r="BE25" s="210"/>
      <c r="BF25" s="2415"/>
      <c r="BG25" s="2417">
        <f t="shared" si="14"/>
        <v>1</v>
      </c>
      <c r="BH25" s="2491">
        <f t="shared" si="4"/>
        <v>1</v>
      </c>
      <c r="BI25" s="2416">
        <v>0</v>
      </c>
      <c r="BJ25" s="2492">
        <v>0</v>
      </c>
      <c r="BK25" s="2416"/>
      <c r="BL25" s="2492">
        <v>0</v>
      </c>
      <c r="BM25" s="2416"/>
      <c r="BN25" s="2416"/>
      <c r="BO25" s="2416"/>
      <c r="BP25" s="2421"/>
    </row>
    <row r="26" spans="1:68" s="211" customFormat="1" ht="51.75" thickBot="1">
      <c r="A26" s="2655"/>
      <c r="B26" s="2655"/>
      <c r="C26" s="2657"/>
      <c r="D26" s="423" t="s">
        <v>341</v>
      </c>
      <c r="E26" s="207" t="s">
        <v>72</v>
      </c>
      <c r="F26" s="110">
        <v>1</v>
      </c>
      <c r="G26" s="111" t="s">
        <v>296</v>
      </c>
      <c r="H26" s="112" t="s">
        <v>342</v>
      </c>
      <c r="I26" s="214">
        <f>10%/7</f>
        <v>0.014285714285714287</v>
      </c>
      <c r="J26" s="112" t="s">
        <v>343</v>
      </c>
      <c r="K26" s="113">
        <v>42066</v>
      </c>
      <c r="L26" s="43">
        <v>42129</v>
      </c>
      <c r="M26" s="44"/>
      <c r="N26" s="44"/>
      <c r="O26" s="44"/>
      <c r="P26" s="44"/>
      <c r="Q26" s="44">
        <v>1</v>
      </c>
      <c r="R26" s="44"/>
      <c r="S26" s="44"/>
      <c r="T26" s="44"/>
      <c r="U26" s="44"/>
      <c r="V26" s="44"/>
      <c r="W26" s="44"/>
      <c r="X26" s="44"/>
      <c r="Y26" s="45">
        <f t="shared" si="5"/>
        <v>1</v>
      </c>
      <c r="Z26" s="75">
        <v>0</v>
      </c>
      <c r="AA26" s="97" t="s">
        <v>1090</v>
      </c>
      <c r="AB26" s="1552">
        <f t="shared" si="6"/>
        <v>0</v>
      </c>
      <c r="AC26" s="1335">
        <f t="shared" si="7"/>
        <v>0</v>
      </c>
      <c r="AD26" s="1552">
        <v>0</v>
      </c>
      <c r="AE26" s="1335" t="s">
        <v>1090</v>
      </c>
      <c r="AF26" s="1630">
        <f t="shared" si="8"/>
        <v>0</v>
      </c>
      <c r="AG26" s="1335">
        <f t="shared" si="9"/>
        <v>0</v>
      </c>
      <c r="AH26" s="1335"/>
      <c r="AI26" s="1334"/>
      <c r="AJ26" s="1335"/>
      <c r="AK26" s="1334"/>
      <c r="AL26" s="1334"/>
      <c r="AM26" s="1692">
        <f t="shared" si="10"/>
        <v>0</v>
      </c>
      <c r="AN26" s="1699">
        <f t="shared" si="0"/>
        <v>0</v>
      </c>
      <c r="AO26" s="1697">
        <v>0</v>
      </c>
      <c r="AP26" s="1699" t="s">
        <v>1090</v>
      </c>
      <c r="AQ26" s="1699">
        <f t="shared" si="11"/>
        <v>0</v>
      </c>
      <c r="AR26" s="1699">
        <v>0</v>
      </c>
      <c r="AS26" s="1743">
        <v>0</v>
      </c>
      <c r="AT26" s="1699">
        <v>0</v>
      </c>
      <c r="AU26" s="1692"/>
      <c r="AV26" s="1692"/>
      <c r="AW26" s="210">
        <f t="shared" si="12"/>
        <v>1</v>
      </c>
      <c r="AX26" s="1951">
        <f t="shared" si="2"/>
        <v>1</v>
      </c>
      <c r="AY26" s="1952">
        <v>1</v>
      </c>
      <c r="AZ26" s="1951">
        <f t="shared" si="17"/>
        <v>1</v>
      </c>
      <c r="BA26" s="1951">
        <f t="shared" si="13"/>
        <v>1</v>
      </c>
      <c r="BB26" s="1951">
        <f t="shared" si="3"/>
        <v>1</v>
      </c>
      <c r="BC26" s="1954">
        <v>0</v>
      </c>
      <c r="BD26" s="1951">
        <v>0</v>
      </c>
      <c r="BE26" s="210" t="s">
        <v>2462</v>
      </c>
      <c r="BF26" s="2415"/>
      <c r="BG26" s="2417">
        <f t="shared" si="14"/>
        <v>1</v>
      </c>
      <c r="BH26" s="2491">
        <f t="shared" si="4"/>
        <v>1</v>
      </c>
      <c r="BI26" s="2416">
        <v>1</v>
      </c>
      <c r="BJ26" s="2492">
        <v>1</v>
      </c>
      <c r="BK26" s="2416"/>
      <c r="BL26" s="2492">
        <v>1</v>
      </c>
      <c r="BM26" s="2416"/>
      <c r="BN26" s="2416"/>
      <c r="BO26" s="2416"/>
      <c r="BP26" s="2421"/>
    </row>
    <row r="27" spans="1:68" s="211" customFormat="1" ht="54" customHeight="1" thickBot="1">
      <c r="A27" s="2655"/>
      <c r="B27" s="2655"/>
      <c r="C27" s="2657"/>
      <c r="D27" s="423" t="s">
        <v>344</v>
      </c>
      <c r="E27" s="207" t="s">
        <v>345</v>
      </c>
      <c r="F27" s="110">
        <v>2500</v>
      </c>
      <c r="G27" s="111" t="s">
        <v>346</v>
      </c>
      <c r="H27" s="112" t="s">
        <v>342</v>
      </c>
      <c r="I27" s="214">
        <f aca="true" t="shared" si="19" ref="I27:I32">10%/7</f>
        <v>0.014285714285714287</v>
      </c>
      <c r="J27" s="112" t="s">
        <v>343</v>
      </c>
      <c r="K27" s="113">
        <v>42005</v>
      </c>
      <c r="L27" s="43">
        <v>42369</v>
      </c>
      <c r="M27" s="44">
        <f>2500/12</f>
        <v>208.33333333333334</v>
      </c>
      <c r="N27" s="44">
        <f aca="true" t="shared" si="20" ref="N27:X27">2500/12</f>
        <v>208.33333333333334</v>
      </c>
      <c r="O27" s="44">
        <f t="shared" si="20"/>
        <v>208.33333333333334</v>
      </c>
      <c r="P27" s="44">
        <f t="shared" si="20"/>
        <v>208.33333333333334</v>
      </c>
      <c r="Q27" s="44">
        <f t="shared" si="20"/>
        <v>208.33333333333334</v>
      </c>
      <c r="R27" s="44">
        <f t="shared" si="20"/>
        <v>208.33333333333334</v>
      </c>
      <c r="S27" s="44">
        <f t="shared" si="20"/>
        <v>208.33333333333334</v>
      </c>
      <c r="T27" s="44">
        <f t="shared" si="20"/>
        <v>208.33333333333334</v>
      </c>
      <c r="U27" s="44">
        <f t="shared" si="20"/>
        <v>208.33333333333334</v>
      </c>
      <c r="V27" s="44">
        <f t="shared" si="20"/>
        <v>208.33333333333334</v>
      </c>
      <c r="W27" s="44">
        <f t="shared" si="20"/>
        <v>208.33333333333334</v>
      </c>
      <c r="X27" s="44">
        <f t="shared" si="20"/>
        <v>208.33333333333334</v>
      </c>
      <c r="Y27" s="45">
        <f t="shared" si="5"/>
        <v>2500</v>
      </c>
      <c r="Z27" s="75">
        <v>0</v>
      </c>
      <c r="AA27" s="97" t="s">
        <v>1090</v>
      </c>
      <c r="AB27" s="1552">
        <f t="shared" si="6"/>
        <v>416.6666666666667</v>
      </c>
      <c r="AC27" s="1335">
        <f t="shared" si="7"/>
        <v>1</v>
      </c>
      <c r="AD27" s="1552">
        <v>250</v>
      </c>
      <c r="AE27" s="1335">
        <f t="shared" si="15"/>
        <v>0.6</v>
      </c>
      <c r="AF27" s="1630">
        <f t="shared" si="8"/>
        <v>0.1</v>
      </c>
      <c r="AG27" s="1335">
        <f t="shared" si="9"/>
        <v>0.1</v>
      </c>
      <c r="AH27" s="1335"/>
      <c r="AI27" s="1334"/>
      <c r="AJ27" s="1335"/>
      <c r="AK27" s="1334" t="s">
        <v>1845</v>
      </c>
      <c r="AL27" s="1334"/>
      <c r="AM27" s="1692">
        <f t="shared" si="10"/>
        <v>833.3333333333334</v>
      </c>
      <c r="AN27" s="1699">
        <f t="shared" si="0"/>
        <v>1</v>
      </c>
      <c r="AO27" s="1697">
        <v>426</v>
      </c>
      <c r="AP27" s="1699">
        <f t="shared" si="16"/>
        <v>0.5112</v>
      </c>
      <c r="AQ27" s="1699">
        <f t="shared" si="11"/>
        <v>0.1704</v>
      </c>
      <c r="AR27" s="1699">
        <f t="shared" si="1"/>
        <v>0.5112</v>
      </c>
      <c r="AS27" s="1743">
        <v>0</v>
      </c>
      <c r="AT27" s="1699">
        <v>0</v>
      </c>
      <c r="AU27" s="1692" t="s">
        <v>2276</v>
      </c>
      <c r="AV27" s="1692"/>
      <c r="AW27" s="210">
        <f t="shared" si="12"/>
        <v>1250</v>
      </c>
      <c r="AX27" s="1951">
        <f t="shared" si="2"/>
        <v>1</v>
      </c>
      <c r="AY27" s="1952">
        <v>410</v>
      </c>
      <c r="AZ27" s="1951">
        <f t="shared" si="17"/>
        <v>0.328</v>
      </c>
      <c r="BA27" s="1951">
        <f t="shared" si="13"/>
        <v>0.164</v>
      </c>
      <c r="BB27" s="1951">
        <f t="shared" si="3"/>
        <v>0.328</v>
      </c>
      <c r="BC27" s="1954">
        <v>0</v>
      </c>
      <c r="BD27" s="1951">
        <v>0</v>
      </c>
      <c r="BE27" s="210" t="s">
        <v>2482</v>
      </c>
      <c r="BF27" s="2415"/>
      <c r="BG27" s="2417">
        <f t="shared" si="14"/>
        <v>1666.6666666666665</v>
      </c>
      <c r="BH27" s="2491">
        <f t="shared" si="4"/>
        <v>1</v>
      </c>
      <c r="BI27" s="2416">
        <v>335</v>
      </c>
      <c r="BJ27" s="2492">
        <v>1</v>
      </c>
      <c r="BK27" s="2416"/>
      <c r="BL27" s="2492">
        <f>1421/Y27</f>
        <v>0.5684</v>
      </c>
      <c r="BM27" s="2416"/>
      <c r="BN27" s="2416"/>
      <c r="BO27" s="2416" t="s">
        <v>2997</v>
      </c>
      <c r="BP27" s="2421"/>
    </row>
    <row r="28" spans="1:68" s="211" customFormat="1" ht="99.75" customHeight="1" thickBot="1">
      <c r="A28" s="2655"/>
      <c r="B28" s="2655"/>
      <c r="C28" s="2657"/>
      <c r="D28" s="423" t="s">
        <v>347</v>
      </c>
      <c r="E28" s="207" t="s">
        <v>348</v>
      </c>
      <c r="F28" s="110">
        <v>3</v>
      </c>
      <c r="G28" s="111" t="s">
        <v>349</v>
      </c>
      <c r="H28" s="112" t="s">
        <v>350</v>
      </c>
      <c r="I28" s="214">
        <f t="shared" si="19"/>
        <v>0.014285714285714287</v>
      </c>
      <c r="J28" s="112" t="s">
        <v>351</v>
      </c>
      <c r="K28" s="113">
        <v>42005</v>
      </c>
      <c r="L28" s="43">
        <v>42369</v>
      </c>
      <c r="M28" s="44"/>
      <c r="N28" s="44"/>
      <c r="O28" s="44"/>
      <c r="P28" s="44">
        <v>1</v>
      </c>
      <c r="Q28" s="44"/>
      <c r="R28" s="44"/>
      <c r="S28" s="44">
        <v>1</v>
      </c>
      <c r="T28" s="44"/>
      <c r="U28" s="44"/>
      <c r="V28" s="44"/>
      <c r="W28" s="44">
        <v>1</v>
      </c>
      <c r="X28" s="44"/>
      <c r="Y28" s="45">
        <f t="shared" si="5"/>
        <v>3</v>
      </c>
      <c r="Z28" s="75">
        <v>0</v>
      </c>
      <c r="AA28" s="97" t="s">
        <v>1090</v>
      </c>
      <c r="AB28" s="1552">
        <f t="shared" si="6"/>
        <v>0</v>
      </c>
      <c r="AC28" s="1335">
        <f t="shared" si="7"/>
        <v>0</v>
      </c>
      <c r="AD28" s="1552">
        <v>1</v>
      </c>
      <c r="AE28" s="1335" t="s">
        <v>1090</v>
      </c>
      <c r="AF28" s="1630">
        <f t="shared" si="8"/>
        <v>0.3333333333333333</v>
      </c>
      <c r="AG28" s="1335">
        <f t="shared" si="9"/>
        <v>0.3333333333333333</v>
      </c>
      <c r="AH28" s="1335"/>
      <c r="AI28" s="1334"/>
      <c r="AJ28" s="1335"/>
      <c r="AK28" s="1334" t="s">
        <v>1846</v>
      </c>
      <c r="AL28" s="1334"/>
      <c r="AM28" s="1692">
        <f t="shared" si="10"/>
        <v>1</v>
      </c>
      <c r="AN28" s="1699">
        <f t="shared" si="0"/>
        <v>1</v>
      </c>
      <c r="AO28" s="1697">
        <v>2</v>
      </c>
      <c r="AP28" s="1699">
        <v>1</v>
      </c>
      <c r="AQ28" s="1699">
        <f t="shared" si="11"/>
        <v>0.6666666666666666</v>
      </c>
      <c r="AR28" s="1699">
        <f t="shared" si="1"/>
        <v>1</v>
      </c>
      <c r="AS28" s="1743">
        <v>0</v>
      </c>
      <c r="AT28" s="1699">
        <v>0</v>
      </c>
      <c r="AU28" s="1692" t="s">
        <v>2277</v>
      </c>
      <c r="AV28" s="1692"/>
      <c r="AW28" s="210">
        <f t="shared" si="12"/>
        <v>1</v>
      </c>
      <c r="AX28" s="1951">
        <f t="shared" si="2"/>
        <v>1</v>
      </c>
      <c r="AY28" s="1952">
        <v>1</v>
      </c>
      <c r="AZ28" s="1951">
        <f t="shared" si="17"/>
        <v>1</v>
      </c>
      <c r="BA28" s="1951">
        <f t="shared" si="13"/>
        <v>0.3333333333333333</v>
      </c>
      <c r="BB28" s="1951">
        <f t="shared" si="3"/>
        <v>1</v>
      </c>
      <c r="BC28" s="1954">
        <v>0</v>
      </c>
      <c r="BD28" s="1951">
        <v>0</v>
      </c>
      <c r="BE28" s="210" t="s">
        <v>2460</v>
      </c>
      <c r="BF28" s="2415"/>
      <c r="BG28" s="2417">
        <f t="shared" si="14"/>
        <v>2</v>
      </c>
      <c r="BH28" s="2491">
        <f t="shared" si="4"/>
        <v>1</v>
      </c>
      <c r="BI28" s="2416">
        <v>2</v>
      </c>
      <c r="BJ28" s="2492">
        <v>1</v>
      </c>
      <c r="BK28" s="2416"/>
      <c r="BL28" s="2492">
        <f>BI28/Y28</f>
        <v>0.6666666666666666</v>
      </c>
      <c r="BM28" s="2416"/>
      <c r="BN28" s="2416"/>
      <c r="BO28" s="2416" t="s">
        <v>2998</v>
      </c>
      <c r="BP28" s="2421"/>
    </row>
    <row r="29" spans="1:68" s="211" customFormat="1" ht="26.25" thickBot="1">
      <c r="A29" s="2655"/>
      <c r="B29" s="2655"/>
      <c r="C29" s="2657"/>
      <c r="D29" s="423" t="s">
        <v>352</v>
      </c>
      <c r="E29" s="207" t="s">
        <v>353</v>
      </c>
      <c r="F29" s="110">
        <v>4</v>
      </c>
      <c r="G29" s="111" t="s">
        <v>354</v>
      </c>
      <c r="H29" s="112" t="s">
        <v>342</v>
      </c>
      <c r="I29" s="214">
        <f t="shared" si="19"/>
        <v>0.014285714285714287</v>
      </c>
      <c r="J29" s="112" t="s">
        <v>355</v>
      </c>
      <c r="K29" s="113">
        <v>42005</v>
      </c>
      <c r="L29" s="43">
        <v>42369</v>
      </c>
      <c r="M29" s="44"/>
      <c r="N29" s="44"/>
      <c r="O29" s="44"/>
      <c r="P29" s="44">
        <v>1</v>
      </c>
      <c r="Q29" s="44"/>
      <c r="R29" s="44"/>
      <c r="S29" s="44">
        <v>1</v>
      </c>
      <c r="T29" s="44"/>
      <c r="U29" s="44"/>
      <c r="V29" s="44">
        <v>1</v>
      </c>
      <c r="W29" s="44">
        <v>1</v>
      </c>
      <c r="X29" s="44"/>
      <c r="Y29" s="45">
        <f t="shared" si="5"/>
        <v>4</v>
      </c>
      <c r="Z29" s="75">
        <v>0</v>
      </c>
      <c r="AA29" s="97" t="s">
        <v>1090</v>
      </c>
      <c r="AB29" s="1552">
        <f t="shared" si="6"/>
        <v>0</v>
      </c>
      <c r="AC29" s="1335">
        <f t="shared" si="7"/>
        <v>0</v>
      </c>
      <c r="AD29" s="1552">
        <v>0</v>
      </c>
      <c r="AE29" s="1335" t="s">
        <v>1090</v>
      </c>
      <c r="AF29" s="1630">
        <f t="shared" si="8"/>
        <v>0</v>
      </c>
      <c r="AG29" s="1335">
        <f t="shared" si="9"/>
        <v>0</v>
      </c>
      <c r="AH29" s="1335"/>
      <c r="AI29" s="1334"/>
      <c r="AJ29" s="1335"/>
      <c r="AK29" s="1334"/>
      <c r="AL29" s="1334"/>
      <c r="AM29" s="1692">
        <f t="shared" si="10"/>
        <v>1</v>
      </c>
      <c r="AN29" s="1699">
        <f t="shared" si="0"/>
        <v>1</v>
      </c>
      <c r="AO29" s="1697">
        <v>0</v>
      </c>
      <c r="AP29" s="1699">
        <f t="shared" si="16"/>
        <v>0</v>
      </c>
      <c r="AQ29" s="1699">
        <f t="shared" si="11"/>
        <v>0</v>
      </c>
      <c r="AR29" s="1699">
        <f t="shared" si="1"/>
        <v>0</v>
      </c>
      <c r="AS29" s="1743">
        <v>0</v>
      </c>
      <c r="AT29" s="1699">
        <v>0</v>
      </c>
      <c r="AU29" s="1692"/>
      <c r="AV29" s="1692"/>
      <c r="AW29" s="210">
        <f t="shared" si="12"/>
        <v>1</v>
      </c>
      <c r="AX29" s="1951">
        <f t="shared" si="2"/>
        <v>1</v>
      </c>
      <c r="AY29" s="1952">
        <v>0</v>
      </c>
      <c r="AZ29" s="1951">
        <f t="shared" si="17"/>
        <v>0</v>
      </c>
      <c r="BA29" s="1951">
        <f t="shared" si="13"/>
        <v>0</v>
      </c>
      <c r="BB29" s="1951">
        <f t="shared" si="3"/>
        <v>0</v>
      </c>
      <c r="BC29" s="1954">
        <v>0</v>
      </c>
      <c r="BD29" s="1951">
        <v>0</v>
      </c>
      <c r="BE29" s="210"/>
      <c r="BF29" s="2415"/>
      <c r="BG29" s="2417">
        <f t="shared" si="14"/>
        <v>2</v>
      </c>
      <c r="BH29" s="2491">
        <f t="shared" si="4"/>
        <v>1</v>
      </c>
      <c r="BI29" s="2416">
        <v>1</v>
      </c>
      <c r="BJ29" s="2492">
        <f>BI29/BG29</f>
        <v>0.5</v>
      </c>
      <c r="BK29" s="2416"/>
      <c r="BL29" s="2492">
        <f>BI29/Y29</f>
        <v>0.25</v>
      </c>
      <c r="BM29" s="2416"/>
      <c r="BN29" s="2416"/>
      <c r="BO29" s="2416" t="s">
        <v>2999</v>
      </c>
      <c r="BP29" s="2421"/>
    </row>
    <row r="30" spans="1:68" s="211" customFormat="1" ht="39" thickBot="1">
      <c r="A30" s="2655"/>
      <c r="B30" s="2655"/>
      <c r="C30" s="2657"/>
      <c r="D30" s="423" t="s">
        <v>356</v>
      </c>
      <c r="E30" s="207" t="s">
        <v>72</v>
      </c>
      <c r="F30" s="110">
        <v>1</v>
      </c>
      <c r="G30" s="111" t="s">
        <v>357</v>
      </c>
      <c r="H30" s="112" t="s">
        <v>342</v>
      </c>
      <c r="I30" s="214">
        <f t="shared" si="19"/>
        <v>0.014285714285714287</v>
      </c>
      <c r="J30" s="112" t="s">
        <v>358</v>
      </c>
      <c r="K30" s="113">
        <v>42005</v>
      </c>
      <c r="L30" s="43">
        <v>42369</v>
      </c>
      <c r="M30" s="44"/>
      <c r="N30" s="44"/>
      <c r="O30" s="44"/>
      <c r="P30" s="44"/>
      <c r="Q30" s="44"/>
      <c r="R30" s="44"/>
      <c r="S30" s="44">
        <v>1</v>
      </c>
      <c r="T30" s="44"/>
      <c r="U30" s="44"/>
      <c r="V30" s="44"/>
      <c r="W30" s="44"/>
      <c r="X30" s="44"/>
      <c r="Y30" s="45">
        <f t="shared" si="5"/>
        <v>1</v>
      </c>
      <c r="Z30" s="75">
        <v>0</v>
      </c>
      <c r="AA30" s="97" t="s">
        <v>1090</v>
      </c>
      <c r="AB30" s="1552">
        <f t="shared" si="6"/>
        <v>0</v>
      </c>
      <c r="AC30" s="1335">
        <f t="shared" si="7"/>
        <v>0</v>
      </c>
      <c r="AD30" s="1552">
        <v>0</v>
      </c>
      <c r="AE30" s="1335" t="s">
        <v>1090</v>
      </c>
      <c r="AF30" s="1630">
        <f t="shared" si="8"/>
        <v>0</v>
      </c>
      <c r="AG30" s="1335">
        <f t="shared" si="9"/>
        <v>0</v>
      </c>
      <c r="AH30" s="1335"/>
      <c r="AI30" s="1334"/>
      <c r="AJ30" s="1335"/>
      <c r="AK30" s="1334"/>
      <c r="AL30" s="1334"/>
      <c r="AM30" s="1692">
        <f t="shared" si="10"/>
        <v>0</v>
      </c>
      <c r="AN30" s="1699">
        <f t="shared" si="0"/>
        <v>0</v>
      </c>
      <c r="AO30" s="1697">
        <v>0</v>
      </c>
      <c r="AP30" s="1699" t="s">
        <v>1090</v>
      </c>
      <c r="AQ30" s="1699">
        <f t="shared" si="11"/>
        <v>0</v>
      </c>
      <c r="AR30" s="1699">
        <v>0</v>
      </c>
      <c r="AS30" s="1743">
        <v>0</v>
      </c>
      <c r="AT30" s="1699">
        <v>0</v>
      </c>
      <c r="AU30" s="1692"/>
      <c r="AV30" s="1692"/>
      <c r="AW30" s="210">
        <f t="shared" si="12"/>
        <v>0</v>
      </c>
      <c r="AX30" s="1951">
        <f t="shared" si="2"/>
        <v>0</v>
      </c>
      <c r="AY30" s="1952">
        <v>0</v>
      </c>
      <c r="AZ30" s="1951" t="s">
        <v>1090</v>
      </c>
      <c r="BA30" s="1951">
        <f t="shared" si="13"/>
        <v>0</v>
      </c>
      <c r="BB30" s="1951">
        <v>0</v>
      </c>
      <c r="BC30" s="1954">
        <v>0</v>
      </c>
      <c r="BD30" s="1951">
        <v>0</v>
      </c>
      <c r="BE30" s="210"/>
      <c r="BF30" s="2415"/>
      <c r="BG30" s="2417">
        <f t="shared" si="14"/>
        <v>1</v>
      </c>
      <c r="BH30" s="2491">
        <f t="shared" si="4"/>
        <v>1</v>
      </c>
      <c r="BI30" s="2416">
        <v>1</v>
      </c>
      <c r="BJ30" s="2492">
        <v>1</v>
      </c>
      <c r="BK30" s="2416"/>
      <c r="BL30" s="2492">
        <f>BI30/Y30</f>
        <v>1</v>
      </c>
      <c r="BM30" s="2416"/>
      <c r="BN30" s="2416"/>
      <c r="BO30" s="2416" t="s">
        <v>3000</v>
      </c>
      <c r="BP30" s="2421"/>
    </row>
    <row r="31" spans="1:68" s="211" customFormat="1" ht="51.75" thickBot="1">
      <c r="A31" s="2655"/>
      <c r="B31" s="2655"/>
      <c r="C31" s="2657"/>
      <c r="D31" s="423" t="s">
        <v>359</v>
      </c>
      <c r="E31" s="207" t="s">
        <v>360</v>
      </c>
      <c r="F31" s="110">
        <v>1</v>
      </c>
      <c r="G31" s="111" t="s">
        <v>361</v>
      </c>
      <c r="H31" s="112" t="s">
        <v>362</v>
      </c>
      <c r="I31" s="214">
        <f t="shared" si="19"/>
        <v>0.014285714285714287</v>
      </c>
      <c r="J31" s="112" t="s">
        <v>331</v>
      </c>
      <c r="K31" s="113">
        <v>42161</v>
      </c>
      <c r="L31" s="43">
        <v>42369</v>
      </c>
      <c r="M31" s="44"/>
      <c r="N31" s="44"/>
      <c r="O31" s="44"/>
      <c r="P31" s="44"/>
      <c r="Q31" s="44"/>
      <c r="R31" s="44">
        <v>1</v>
      </c>
      <c r="S31" s="44"/>
      <c r="T31" s="44"/>
      <c r="U31" s="44"/>
      <c r="V31" s="44"/>
      <c r="W31" s="44"/>
      <c r="X31" s="44"/>
      <c r="Y31" s="45">
        <f t="shared" si="5"/>
        <v>1</v>
      </c>
      <c r="Z31" s="75">
        <v>50000000</v>
      </c>
      <c r="AA31" s="97" t="s">
        <v>1090</v>
      </c>
      <c r="AB31" s="1552">
        <f t="shared" si="6"/>
        <v>0</v>
      </c>
      <c r="AC31" s="1335">
        <f t="shared" si="7"/>
        <v>0</v>
      </c>
      <c r="AD31" s="1552">
        <v>0</v>
      </c>
      <c r="AE31" s="1335" t="s">
        <v>1090</v>
      </c>
      <c r="AF31" s="1630">
        <f t="shared" si="8"/>
        <v>0</v>
      </c>
      <c r="AG31" s="1335">
        <f t="shared" si="9"/>
        <v>0</v>
      </c>
      <c r="AH31" s="1335"/>
      <c r="AI31" s="1334"/>
      <c r="AJ31" s="1335"/>
      <c r="AK31" s="1334" t="s">
        <v>1847</v>
      </c>
      <c r="AL31" s="1334"/>
      <c r="AM31" s="1692">
        <f t="shared" si="10"/>
        <v>0</v>
      </c>
      <c r="AN31" s="1699">
        <f t="shared" si="0"/>
        <v>0</v>
      </c>
      <c r="AO31" s="1697">
        <v>0</v>
      </c>
      <c r="AP31" s="1699" t="s">
        <v>1090</v>
      </c>
      <c r="AQ31" s="1699">
        <f t="shared" si="11"/>
        <v>0</v>
      </c>
      <c r="AR31" s="1699">
        <v>0</v>
      </c>
      <c r="AS31" s="1743">
        <v>0</v>
      </c>
      <c r="AT31" s="1699">
        <v>0</v>
      </c>
      <c r="AU31" s="1692"/>
      <c r="AV31" s="1692"/>
      <c r="AW31" s="210">
        <f t="shared" si="12"/>
        <v>1</v>
      </c>
      <c r="AX31" s="1951">
        <f t="shared" si="2"/>
        <v>1</v>
      </c>
      <c r="AY31" s="1952">
        <v>0</v>
      </c>
      <c r="AZ31" s="1951">
        <f t="shared" si="17"/>
        <v>0</v>
      </c>
      <c r="BA31" s="1951">
        <f t="shared" si="13"/>
        <v>0</v>
      </c>
      <c r="BB31" s="1951">
        <f t="shared" si="3"/>
        <v>0</v>
      </c>
      <c r="BC31" s="1954">
        <v>0</v>
      </c>
      <c r="BD31" s="1951">
        <v>0</v>
      </c>
      <c r="BE31" s="210" t="s">
        <v>2461</v>
      </c>
      <c r="BF31" s="2415"/>
      <c r="BG31" s="2417">
        <f t="shared" si="14"/>
        <v>1</v>
      </c>
      <c r="BH31" s="2491">
        <f t="shared" si="4"/>
        <v>1</v>
      </c>
      <c r="BI31" s="2416">
        <v>0</v>
      </c>
      <c r="BJ31" s="2492">
        <v>0</v>
      </c>
      <c r="BK31" s="2416"/>
      <c r="BL31" s="2492">
        <v>0</v>
      </c>
      <c r="BM31" s="2416"/>
      <c r="BN31" s="2416"/>
      <c r="BO31" s="2416"/>
      <c r="BP31" s="2421"/>
    </row>
    <row r="32" spans="1:68" s="211" customFormat="1" ht="46.5" customHeight="1" thickBot="1">
      <c r="A32" s="2655"/>
      <c r="B32" s="2655"/>
      <c r="C32" s="2657"/>
      <c r="D32" s="423" t="s">
        <v>363</v>
      </c>
      <c r="E32" s="207" t="s">
        <v>364</v>
      </c>
      <c r="F32" s="110">
        <v>1</v>
      </c>
      <c r="G32" s="111" t="s">
        <v>365</v>
      </c>
      <c r="H32" s="112" t="s">
        <v>366</v>
      </c>
      <c r="I32" s="214">
        <f t="shared" si="19"/>
        <v>0.014285714285714287</v>
      </c>
      <c r="J32" s="112" t="s">
        <v>367</v>
      </c>
      <c r="K32" s="113">
        <v>42161</v>
      </c>
      <c r="L32" s="43">
        <v>42369</v>
      </c>
      <c r="M32" s="44"/>
      <c r="N32" s="44"/>
      <c r="O32" s="44"/>
      <c r="P32" s="44"/>
      <c r="Q32" s="44"/>
      <c r="R32" s="44">
        <v>1</v>
      </c>
      <c r="S32" s="44"/>
      <c r="T32" s="44"/>
      <c r="U32" s="44"/>
      <c r="V32" s="44"/>
      <c r="W32" s="44"/>
      <c r="X32" s="44"/>
      <c r="Y32" s="45">
        <f t="shared" si="5"/>
        <v>1</v>
      </c>
      <c r="Z32" s="75">
        <v>0</v>
      </c>
      <c r="AA32" s="97" t="s">
        <v>1090</v>
      </c>
      <c r="AB32" s="1552">
        <f t="shared" si="6"/>
        <v>0</v>
      </c>
      <c r="AC32" s="1335">
        <f t="shared" si="7"/>
        <v>0</v>
      </c>
      <c r="AD32" s="1552">
        <v>0</v>
      </c>
      <c r="AE32" s="1335" t="s">
        <v>1090</v>
      </c>
      <c r="AF32" s="1630">
        <f t="shared" si="8"/>
        <v>0</v>
      </c>
      <c r="AG32" s="1335">
        <f t="shared" si="9"/>
        <v>0</v>
      </c>
      <c r="AH32" s="1335"/>
      <c r="AI32" s="1334"/>
      <c r="AJ32" s="1335"/>
      <c r="AK32" s="1334"/>
      <c r="AL32" s="1334"/>
      <c r="AM32" s="1692">
        <f t="shared" si="10"/>
        <v>0</v>
      </c>
      <c r="AN32" s="1699">
        <f t="shared" si="0"/>
        <v>0</v>
      </c>
      <c r="AO32" s="1697">
        <v>0</v>
      </c>
      <c r="AP32" s="1699" t="s">
        <v>1090</v>
      </c>
      <c r="AQ32" s="1699">
        <f t="shared" si="11"/>
        <v>0</v>
      </c>
      <c r="AR32" s="1699">
        <v>0</v>
      </c>
      <c r="AS32" s="1743">
        <v>0</v>
      </c>
      <c r="AT32" s="1699">
        <v>0</v>
      </c>
      <c r="AU32" s="1692"/>
      <c r="AV32" s="1692"/>
      <c r="AW32" s="210">
        <f t="shared" si="12"/>
        <v>1</v>
      </c>
      <c r="AX32" s="1951">
        <f t="shared" si="2"/>
        <v>1</v>
      </c>
      <c r="AY32" s="1952">
        <v>0</v>
      </c>
      <c r="AZ32" s="1951">
        <f t="shared" si="17"/>
        <v>0</v>
      </c>
      <c r="BA32" s="1951">
        <f t="shared" si="13"/>
        <v>0</v>
      </c>
      <c r="BB32" s="1951">
        <f t="shared" si="3"/>
        <v>0</v>
      </c>
      <c r="BC32" s="1954">
        <v>0</v>
      </c>
      <c r="BD32" s="1951">
        <v>0</v>
      </c>
      <c r="BE32" s="210"/>
      <c r="BF32" s="2415"/>
      <c r="BG32" s="2417">
        <f t="shared" si="14"/>
        <v>1</v>
      </c>
      <c r="BH32" s="2491">
        <f t="shared" si="4"/>
        <v>1</v>
      </c>
      <c r="BI32" s="2416">
        <v>0</v>
      </c>
      <c r="BJ32" s="2492">
        <v>0</v>
      </c>
      <c r="BK32" s="2416"/>
      <c r="BL32" s="2492">
        <v>0</v>
      </c>
      <c r="BM32" s="2416"/>
      <c r="BN32" s="2416"/>
      <c r="BO32" s="2416"/>
      <c r="BP32" s="2421"/>
    </row>
    <row r="33" spans="1:68" s="211" customFormat="1" ht="59.25" customHeight="1" thickBot="1">
      <c r="A33" s="2655"/>
      <c r="B33" s="2655"/>
      <c r="C33" s="2657"/>
      <c r="D33" s="423" t="s">
        <v>368</v>
      </c>
      <c r="E33" s="207" t="s">
        <v>369</v>
      </c>
      <c r="F33" s="110">
        <v>1</v>
      </c>
      <c r="G33" s="111" t="s">
        <v>334</v>
      </c>
      <c r="H33" s="112" t="s">
        <v>370</v>
      </c>
      <c r="I33" s="214">
        <f>10%/3</f>
        <v>0.03333333333333333</v>
      </c>
      <c r="J33" s="112" t="s">
        <v>371</v>
      </c>
      <c r="K33" s="113">
        <v>42007</v>
      </c>
      <c r="L33" s="43">
        <v>42369</v>
      </c>
      <c r="M33" s="44"/>
      <c r="N33" s="44"/>
      <c r="O33" s="44"/>
      <c r="P33" s="44"/>
      <c r="Q33" s="44"/>
      <c r="R33" s="44"/>
      <c r="S33" s="44"/>
      <c r="T33" s="44"/>
      <c r="U33" s="44"/>
      <c r="V33" s="44">
        <v>1</v>
      </c>
      <c r="W33" s="44"/>
      <c r="X33" s="44"/>
      <c r="Y33" s="45">
        <f t="shared" si="5"/>
        <v>1</v>
      </c>
      <c r="Z33" s="75">
        <v>0</v>
      </c>
      <c r="AA33" s="97" t="s">
        <v>1090</v>
      </c>
      <c r="AB33" s="1552">
        <f t="shared" si="6"/>
        <v>0</v>
      </c>
      <c r="AC33" s="1335">
        <f t="shared" si="7"/>
        <v>0</v>
      </c>
      <c r="AD33" s="1552">
        <v>0</v>
      </c>
      <c r="AE33" s="1335" t="s">
        <v>1090</v>
      </c>
      <c r="AF33" s="1630">
        <f t="shared" si="8"/>
        <v>0</v>
      </c>
      <c r="AG33" s="1335">
        <f t="shared" si="9"/>
        <v>0</v>
      </c>
      <c r="AH33" s="1335"/>
      <c r="AI33" s="1334"/>
      <c r="AJ33" s="1335"/>
      <c r="AK33" s="1334"/>
      <c r="AL33" s="1334"/>
      <c r="AM33" s="1692">
        <f t="shared" si="10"/>
        <v>0</v>
      </c>
      <c r="AN33" s="1699">
        <f t="shared" si="0"/>
        <v>0</v>
      </c>
      <c r="AO33" s="1697">
        <v>0</v>
      </c>
      <c r="AP33" s="1699" t="s">
        <v>1090</v>
      </c>
      <c r="AQ33" s="1699">
        <f t="shared" si="11"/>
        <v>0</v>
      </c>
      <c r="AR33" s="1699">
        <v>0</v>
      </c>
      <c r="AS33" s="1743">
        <v>0</v>
      </c>
      <c r="AT33" s="1699">
        <v>0</v>
      </c>
      <c r="AU33" s="1692"/>
      <c r="AV33" s="1692"/>
      <c r="AW33" s="210">
        <f t="shared" si="12"/>
        <v>0</v>
      </c>
      <c r="AX33" s="1951">
        <f t="shared" si="2"/>
        <v>0</v>
      </c>
      <c r="AY33" s="1952">
        <v>0</v>
      </c>
      <c r="AZ33" s="1951" t="s">
        <v>1090</v>
      </c>
      <c r="BA33" s="1951">
        <f t="shared" si="13"/>
        <v>0</v>
      </c>
      <c r="BB33" s="1951">
        <v>0</v>
      </c>
      <c r="BC33" s="1954">
        <v>0</v>
      </c>
      <c r="BD33" s="1951">
        <v>0</v>
      </c>
      <c r="BE33" s="210"/>
      <c r="BF33" s="2415"/>
      <c r="BG33" s="2417">
        <f t="shared" si="14"/>
        <v>0</v>
      </c>
      <c r="BH33" s="2491">
        <f t="shared" si="4"/>
        <v>0</v>
      </c>
      <c r="BI33" s="2416" t="s">
        <v>1090</v>
      </c>
      <c r="BJ33" s="2492" t="s">
        <v>1090</v>
      </c>
      <c r="BK33" s="2416"/>
      <c r="BL33" s="2492">
        <v>0</v>
      </c>
      <c r="BM33" s="2416"/>
      <c r="BN33" s="2416"/>
      <c r="BO33" s="2416"/>
      <c r="BP33" s="2421"/>
    </row>
    <row r="34" spans="1:68" s="211" customFormat="1" ht="60" customHeight="1" thickBot="1">
      <c r="A34" s="2655"/>
      <c r="B34" s="2655"/>
      <c r="C34" s="2657"/>
      <c r="D34" s="423" t="s">
        <v>372</v>
      </c>
      <c r="E34" s="207" t="s">
        <v>72</v>
      </c>
      <c r="F34" s="110">
        <v>1</v>
      </c>
      <c r="G34" s="111" t="s">
        <v>361</v>
      </c>
      <c r="H34" s="112" t="s">
        <v>307</v>
      </c>
      <c r="I34" s="214">
        <f aca="true" t="shared" si="21" ref="I34:I35">10%/3</f>
        <v>0.03333333333333333</v>
      </c>
      <c r="J34" s="112" t="s">
        <v>72</v>
      </c>
      <c r="K34" s="113">
        <v>42007</v>
      </c>
      <c r="L34" s="43">
        <v>42369</v>
      </c>
      <c r="M34" s="44"/>
      <c r="N34" s="44"/>
      <c r="O34" s="44"/>
      <c r="P34" s="44"/>
      <c r="Q34" s="44"/>
      <c r="R34" s="44"/>
      <c r="S34" s="44">
        <v>1</v>
      </c>
      <c r="T34" s="44"/>
      <c r="U34" s="44"/>
      <c r="V34" s="44"/>
      <c r="W34" s="44"/>
      <c r="X34" s="44"/>
      <c r="Y34" s="45">
        <f t="shared" si="5"/>
        <v>1</v>
      </c>
      <c r="Z34" s="75">
        <v>0</v>
      </c>
      <c r="AA34" s="97" t="s">
        <v>1090</v>
      </c>
      <c r="AB34" s="1552">
        <f t="shared" si="6"/>
        <v>0</v>
      </c>
      <c r="AC34" s="1335">
        <f t="shared" si="7"/>
        <v>0</v>
      </c>
      <c r="AD34" s="1552">
        <v>0</v>
      </c>
      <c r="AE34" s="1335" t="s">
        <v>1090</v>
      </c>
      <c r="AF34" s="1630">
        <f t="shared" si="8"/>
        <v>0</v>
      </c>
      <c r="AG34" s="1335">
        <f t="shared" si="9"/>
        <v>0</v>
      </c>
      <c r="AH34" s="1335"/>
      <c r="AI34" s="1334"/>
      <c r="AJ34" s="1335"/>
      <c r="AK34" s="1334"/>
      <c r="AL34" s="1334"/>
      <c r="AM34" s="1692">
        <f t="shared" si="10"/>
        <v>0</v>
      </c>
      <c r="AN34" s="1699">
        <f t="shared" si="0"/>
        <v>0</v>
      </c>
      <c r="AO34" s="1697">
        <v>0</v>
      </c>
      <c r="AP34" s="1699" t="s">
        <v>1090</v>
      </c>
      <c r="AQ34" s="1699">
        <f t="shared" si="11"/>
        <v>0</v>
      </c>
      <c r="AR34" s="1699">
        <v>0</v>
      </c>
      <c r="AS34" s="1743">
        <v>0</v>
      </c>
      <c r="AT34" s="1699">
        <v>0</v>
      </c>
      <c r="AU34" s="1692"/>
      <c r="AV34" s="1692"/>
      <c r="AW34" s="210">
        <f t="shared" si="12"/>
        <v>0</v>
      </c>
      <c r="AX34" s="1951">
        <f t="shared" si="2"/>
        <v>0</v>
      </c>
      <c r="AY34" s="1952">
        <v>0</v>
      </c>
      <c r="AZ34" s="1951" t="s">
        <v>1090</v>
      </c>
      <c r="BA34" s="1951">
        <f t="shared" si="13"/>
        <v>0</v>
      </c>
      <c r="BB34" s="1951">
        <v>0</v>
      </c>
      <c r="BC34" s="1954">
        <v>0</v>
      </c>
      <c r="BD34" s="1951">
        <v>0</v>
      </c>
      <c r="BE34" s="210"/>
      <c r="BF34" s="2415"/>
      <c r="BG34" s="2417">
        <f t="shared" si="14"/>
        <v>1</v>
      </c>
      <c r="BH34" s="2491">
        <f t="shared" si="4"/>
        <v>1</v>
      </c>
      <c r="BI34" s="2416">
        <v>0</v>
      </c>
      <c r="BJ34" s="2492">
        <v>0</v>
      </c>
      <c r="BK34" s="2416"/>
      <c r="BL34" s="2492">
        <v>0</v>
      </c>
      <c r="BM34" s="2416"/>
      <c r="BN34" s="2416"/>
      <c r="BO34" s="2416"/>
      <c r="BP34" s="2421"/>
    </row>
    <row r="35" spans="1:68" s="211" customFormat="1" ht="67.5" customHeight="1" thickBot="1">
      <c r="A35" s="2655"/>
      <c r="B35" s="2655"/>
      <c r="C35" s="2657"/>
      <c r="D35" s="423" t="s">
        <v>373</v>
      </c>
      <c r="E35" s="207" t="s">
        <v>374</v>
      </c>
      <c r="F35" s="110">
        <v>1</v>
      </c>
      <c r="G35" s="111" t="s">
        <v>375</v>
      </c>
      <c r="H35" s="112" t="s">
        <v>376</v>
      </c>
      <c r="I35" s="214">
        <f t="shared" si="21"/>
        <v>0.03333333333333333</v>
      </c>
      <c r="J35" s="112" t="s">
        <v>374</v>
      </c>
      <c r="K35" s="113">
        <v>42098</v>
      </c>
      <c r="L35" s="43">
        <v>42224</v>
      </c>
      <c r="M35" s="44"/>
      <c r="N35" s="44"/>
      <c r="O35" s="44"/>
      <c r="P35" s="44">
        <v>1</v>
      </c>
      <c r="Q35" s="44"/>
      <c r="R35" s="44"/>
      <c r="S35" s="44"/>
      <c r="T35" s="44"/>
      <c r="U35" s="44"/>
      <c r="V35" s="44"/>
      <c r="W35" s="44"/>
      <c r="X35" s="44"/>
      <c r="Y35" s="45">
        <f t="shared" si="5"/>
        <v>1</v>
      </c>
      <c r="Z35" s="75" t="s">
        <v>377</v>
      </c>
      <c r="AA35" s="97" t="s">
        <v>1090</v>
      </c>
      <c r="AB35" s="1552">
        <f t="shared" si="6"/>
        <v>0</v>
      </c>
      <c r="AC35" s="1335">
        <f t="shared" si="7"/>
        <v>0</v>
      </c>
      <c r="AD35" s="1552">
        <v>0</v>
      </c>
      <c r="AE35" s="1335" t="s">
        <v>1090</v>
      </c>
      <c r="AF35" s="1630">
        <f t="shared" si="8"/>
        <v>0</v>
      </c>
      <c r="AG35" s="1335">
        <f t="shared" si="9"/>
        <v>0</v>
      </c>
      <c r="AH35" s="1335"/>
      <c r="AI35" s="1334"/>
      <c r="AJ35" s="1335"/>
      <c r="AK35" s="1334"/>
      <c r="AL35" s="1334"/>
      <c r="AM35" s="1692">
        <f t="shared" si="10"/>
        <v>1</v>
      </c>
      <c r="AN35" s="1699">
        <f t="shared" si="0"/>
        <v>1</v>
      </c>
      <c r="AO35" s="1697">
        <v>0</v>
      </c>
      <c r="AP35" s="1699">
        <f t="shared" si="16"/>
        <v>0</v>
      </c>
      <c r="AQ35" s="1699">
        <f t="shared" si="11"/>
        <v>0</v>
      </c>
      <c r="AR35" s="1699">
        <f t="shared" si="1"/>
        <v>0</v>
      </c>
      <c r="AS35" s="1743">
        <v>0</v>
      </c>
      <c r="AT35" s="1699">
        <v>0</v>
      </c>
      <c r="AU35" s="1692"/>
      <c r="AV35" s="1692" t="s">
        <v>2278</v>
      </c>
      <c r="AW35" s="210">
        <f t="shared" si="12"/>
        <v>1</v>
      </c>
      <c r="AX35" s="1951">
        <f t="shared" si="2"/>
        <v>1</v>
      </c>
      <c r="AY35" s="1952">
        <v>0</v>
      </c>
      <c r="AZ35" s="1951">
        <f t="shared" si="17"/>
        <v>0</v>
      </c>
      <c r="BA35" s="1951">
        <f t="shared" si="13"/>
        <v>0</v>
      </c>
      <c r="BB35" s="1951">
        <f t="shared" si="3"/>
        <v>0</v>
      </c>
      <c r="BC35" s="1954">
        <v>0</v>
      </c>
      <c r="BD35" s="1951">
        <v>0</v>
      </c>
      <c r="BE35" s="210"/>
      <c r="BF35" s="2415"/>
      <c r="BG35" s="2417">
        <f t="shared" si="14"/>
        <v>1</v>
      </c>
      <c r="BH35" s="2491">
        <f t="shared" si="4"/>
        <v>1</v>
      </c>
      <c r="BI35" s="2416">
        <v>0</v>
      </c>
      <c r="BJ35" s="2492">
        <v>0</v>
      </c>
      <c r="BK35" s="2416"/>
      <c r="BL35" s="2492">
        <v>0</v>
      </c>
      <c r="BM35" s="2416"/>
      <c r="BN35" s="2416"/>
      <c r="BO35" s="2416"/>
      <c r="BP35" s="2421"/>
    </row>
    <row r="36" spans="1:68" s="211" customFormat="1" ht="33" customHeight="1" thickBot="1">
      <c r="A36" s="2655"/>
      <c r="B36" s="2655"/>
      <c r="C36" s="2656" t="s">
        <v>378</v>
      </c>
      <c r="D36" s="423" t="s">
        <v>379</v>
      </c>
      <c r="E36" s="207" t="s">
        <v>380</v>
      </c>
      <c r="F36" s="110">
        <v>360</v>
      </c>
      <c r="G36" s="111" t="s">
        <v>381</v>
      </c>
      <c r="H36" s="112" t="s">
        <v>382</v>
      </c>
      <c r="I36" s="214">
        <f>10%/7</f>
        <v>0.014285714285714287</v>
      </c>
      <c r="J36" s="112" t="s">
        <v>320</v>
      </c>
      <c r="K36" s="113">
        <v>42005</v>
      </c>
      <c r="L36" s="43">
        <v>42369</v>
      </c>
      <c r="M36" s="44">
        <f>360/12</f>
        <v>30</v>
      </c>
      <c r="N36" s="44">
        <f aca="true" t="shared" si="22" ref="N36:X36">360/12</f>
        <v>30</v>
      </c>
      <c r="O36" s="44">
        <f t="shared" si="22"/>
        <v>30</v>
      </c>
      <c r="P36" s="44">
        <f t="shared" si="22"/>
        <v>30</v>
      </c>
      <c r="Q36" s="44">
        <f t="shared" si="22"/>
        <v>30</v>
      </c>
      <c r="R36" s="44">
        <f t="shared" si="22"/>
        <v>30</v>
      </c>
      <c r="S36" s="44">
        <f t="shared" si="22"/>
        <v>30</v>
      </c>
      <c r="T36" s="44">
        <f t="shared" si="22"/>
        <v>30</v>
      </c>
      <c r="U36" s="44">
        <f t="shared" si="22"/>
        <v>30</v>
      </c>
      <c r="V36" s="44">
        <f t="shared" si="22"/>
        <v>30</v>
      </c>
      <c r="W36" s="44">
        <f t="shared" si="22"/>
        <v>30</v>
      </c>
      <c r="X36" s="44">
        <f t="shared" si="22"/>
        <v>30</v>
      </c>
      <c r="Y36" s="45">
        <f t="shared" si="5"/>
        <v>360</v>
      </c>
      <c r="Z36" s="75">
        <v>0</v>
      </c>
      <c r="AA36" s="97" t="s">
        <v>1090</v>
      </c>
      <c r="AB36" s="1552">
        <f t="shared" si="6"/>
        <v>60</v>
      </c>
      <c r="AC36" s="1335">
        <f t="shared" si="7"/>
        <v>1</v>
      </c>
      <c r="AD36" s="1552">
        <v>60</v>
      </c>
      <c r="AE36" s="1335">
        <f t="shared" si="15"/>
        <v>1</v>
      </c>
      <c r="AF36" s="1630">
        <f t="shared" si="8"/>
        <v>0.16666666666666666</v>
      </c>
      <c r="AG36" s="1335">
        <f t="shared" si="9"/>
        <v>0.16666666666666666</v>
      </c>
      <c r="AH36" s="1335"/>
      <c r="AI36" s="1334"/>
      <c r="AJ36" s="1335"/>
      <c r="AK36" s="1334" t="s">
        <v>1848</v>
      </c>
      <c r="AL36" s="1334"/>
      <c r="AM36" s="1692">
        <f t="shared" si="10"/>
        <v>120</v>
      </c>
      <c r="AN36" s="1699">
        <f t="shared" si="0"/>
        <v>1</v>
      </c>
      <c r="AO36" s="1697">
        <v>60</v>
      </c>
      <c r="AP36" s="1699">
        <f t="shared" si="16"/>
        <v>0.5</v>
      </c>
      <c r="AQ36" s="1699">
        <f t="shared" si="11"/>
        <v>0.16666666666666666</v>
      </c>
      <c r="AR36" s="1699">
        <f t="shared" si="1"/>
        <v>0.5</v>
      </c>
      <c r="AS36" s="1743">
        <v>0</v>
      </c>
      <c r="AT36" s="1699">
        <v>0</v>
      </c>
      <c r="AU36" s="1692" t="s">
        <v>2279</v>
      </c>
      <c r="AV36" s="1692"/>
      <c r="AW36" s="210">
        <f t="shared" si="12"/>
        <v>180</v>
      </c>
      <c r="AX36" s="1951">
        <f t="shared" si="2"/>
        <v>1</v>
      </c>
      <c r="AY36" s="1952">
        <v>61</v>
      </c>
      <c r="AZ36" s="1951">
        <f t="shared" si="17"/>
        <v>0.3388888888888889</v>
      </c>
      <c r="BA36" s="1951">
        <f t="shared" si="13"/>
        <v>0.16944444444444445</v>
      </c>
      <c r="BB36" s="1951">
        <f t="shared" si="3"/>
        <v>0.3388888888888889</v>
      </c>
      <c r="BC36" s="1954">
        <v>0</v>
      </c>
      <c r="BD36" s="1951">
        <v>0</v>
      </c>
      <c r="BE36" s="210" t="s">
        <v>2463</v>
      </c>
      <c r="BF36" s="2415"/>
      <c r="BG36" s="2417">
        <f t="shared" si="14"/>
        <v>240</v>
      </c>
      <c r="BH36" s="2491">
        <f t="shared" si="4"/>
        <v>1</v>
      </c>
      <c r="BI36" s="2416">
        <v>241</v>
      </c>
      <c r="BJ36" s="2492">
        <v>1</v>
      </c>
      <c r="BK36" s="2416"/>
      <c r="BL36" s="2492">
        <f>BI36/Y36</f>
        <v>0.6694444444444444</v>
      </c>
      <c r="BM36" s="2416"/>
      <c r="BN36" s="2416"/>
      <c r="BO36" s="2416" t="s">
        <v>3001</v>
      </c>
      <c r="BP36" s="2421"/>
    </row>
    <row r="37" spans="1:68" s="211" customFormat="1" ht="59.25" customHeight="1" thickBot="1">
      <c r="A37" s="2655"/>
      <c r="B37" s="2655"/>
      <c r="C37" s="2657"/>
      <c r="D37" s="423" t="s">
        <v>383</v>
      </c>
      <c r="E37" s="207" t="s">
        <v>384</v>
      </c>
      <c r="F37" s="110">
        <v>100</v>
      </c>
      <c r="G37" s="111" t="s">
        <v>385</v>
      </c>
      <c r="H37" s="112" t="s">
        <v>386</v>
      </c>
      <c r="I37" s="214">
        <f aca="true" t="shared" si="23" ref="I37:I41">10%/7</f>
        <v>0.014285714285714287</v>
      </c>
      <c r="J37" s="112" t="s">
        <v>387</v>
      </c>
      <c r="K37" s="113">
        <v>42005</v>
      </c>
      <c r="L37" s="43">
        <v>42369</v>
      </c>
      <c r="M37" s="44">
        <f>100/12</f>
        <v>8.333333333333334</v>
      </c>
      <c r="N37" s="44">
        <f aca="true" t="shared" si="24" ref="N37:X37">100/12</f>
        <v>8.333333333333334</v>
      </c>
      <c r="O37" s="44">
        <f t="shared" si="24"/>
        <v>8.333333333333334</v>
      </c>
      <c r="P37" s="44">
        <f t="shared" si="24"/>
        <v>8.333333333333334</v>
      </c>
      <c r="Q37" s="44">
        <f t="shared" si="24"/>
        <v>8.333333333333334</v>
      </c>
      <c r="R37" s="44">
        <f t="shared" si="24"/>
        <v>8.333333333333334</v>
      </c>
      <c r="S37" s="44">
        <f t="shared" si="24"/>
        <v>8.333333333333334</v>
      </c>
      <c r="T37" s="44">
        <f t="shared" si="24"/>
        <v>8.333333333333334</v>
      </c>
      <c r="U37" s="44">
        <f t="shared" si="24"/>
        <v>8.333333333333334</v>
      </c>
      <c r="V37" s="44">
        <f t="shared" si="24"/>
        <v>8.333333333333334</v>
      </c>
      <c r="W37" s="44">
        <f t="shared" si="24"/>
        <v>8.333333333333334</v>
      </c>
      <c r="X37" s="44">
        <f t="shared" si="24"/>
        <v>8.333333333333334</v>
      </c>
      <c r="Y37" s="45">
        <f t="shared" si="5"/>
        <v>99.99999999999999</v>
      </c>
      <c r="Z37" s="75">
        <v>0</v>
      </c>
      <c r="AA37" s="97" t="s">
        <v>1090</v>
      </c>
      <c r="AB37" s="1552">
        <f t="shared" si="6"/>
        <v>16.666666666666668</v>
      </c>
      <c r="AC37" s="1335">
        <f t="shared" si="7"/>
        <v>1</v>
      </c>
      <c r="AD37" s="1552">
        <v>28</v>
      </c>
      <c r="AE37" s="1335">
        <f t="shared" si="15"/>
        <v>1.68</v>
      </c>
      <c r="AF37" s="1630">
        <f t="shared" si="8"/>
        <v>0.28</v>
      </c>
      <c r="AG37" s="1335">
        <f t="shared" si="9"/>
        <v>0.28</v>
      </c>
      <c r="AH37" s="1335"/>
      <c r="AI37" s="1334"/>
      <c r="AJ37" s="1335"/>
      <c r="AK37" s="1334" t="s">
        <v>1849</v>
      </c>
      <c r="AL37" s="1334"/>
      <c r="AM37" s="1692">
        <f t="shared" si="10"/>
        <v>33.333333333333336</v>
      </c>
      <c r="AN37" s="1699">
        <f t="shared" si="0"/>
        <v>1</v>
      </c>
      <c r="AO37" s="1697">
        <v>34</v>
      </c>
      <c r="AP37" s="1699">
        <v>1</v>
      </c>
      <c r="AQ37" s="1699">
        <f t="shared" si="11"/>
        <v>0.34</v>
      </c>
      <c r="AR37" s="1699">
        <f t="shared" si="1"/>
        <v>1</v>
      </c>
      <c r="AS37" s="1743">
        <v>0</v>
      </c>
      <c r="AT37" s="1699">
        <v>0</v>
      </c>
      <c r="AU37" s="1692" t="s">
        <v>2280</v>
      </c>
      <c r="AV37" s="1692"/>
      <c r="AW37" s="210">
        <f t="shared" si="12"/>
        <v>50.00000000000001</v>
      </c>
      <c r="AX37" s="1951">
        <f t="shared" si="2"/>
        <v>1</v>
      </c>
      <c r="AY37" s="1952">
        <v>58</v>
      </c>
      <c r="AZ37" s="1951">
        <v>1</v>
      </c>
      <c r="BA37" s="1951">
        <f t="shared" si="13"/>
        <v>0.5800000000000001</v>
      </c>
      <c r="BB37" s="1951">
        <f t="shared" si="3"/>
        <v>1</v>
      </c>
      <c r="BC37" s="1954">
        <v>0</v>
      </c>
      <c r="BD37" s="1951">
        <v>0</v>
      </c>
      <c r="BE37" s="210" t="s">
        <v>2464</v>
      </c>
      <c r="BF37" s="2415"/>
      <c r="BG37" s="2417">
        <f t="shared" si="14"/>
        <v>66.66666666666667</v>
      </c>
      <c r="BH37" s="2491">
        <f t="shared" si="4"/>
        <v>1</v>
      </c>
      <c r="BI37" s="2416">
        <v>20</v>
      </c>
      <c r="BJ37" s="2492">
        <f>BI37/BG37</f>
        <v>0.3</v>
      </c>
      <c r="BK37" s="2416"/>
      <c r="BL37" s="2492">
        <f>BI37/Y37</f>
        <v>0.20000000000000004</v>
      </c>
      <c r="BM37" s="2416"/>
      <c r="BN37" s="2416"/>
      <c r="BO37" s="2416" t="s">
        <v>3002</v>
      </c>
      <c r="BP37" s="2421"/>
    </row>
    <row r="38" spans="1:68" s="211" customFormat="1" ht="47.25" customHeight="1" thickBot="1">
      <c r="A38" s="2655"/>
      <c r="B38" s="2655"/>
      <c r="C38" s="2657"/>
      <c r="D38" s="423" t="s">
        <v>388</v>
      </c>
      <c r="E38" s="207" t="s">
        <v>389</v>
      </c>
      <c r="F38" s="110">
        <v>4</v>
      </c>
      <c r="G38" s="111" t="s">
        <v>390</v>
      </c>
      <c r="H38" s="112" t="s">
        <v>391</v>
      </c>
      <c r="I38" s="214">
        <f t="shared" si="23"/>
        <v>0.014285714285714287</v>
      </c>
      <c r="J38" s="112" t="s">
        <v>387</v>
      </c>
      <c r="K38" s="113">
        <v>42005</v>
      </c>
      <c r="L38" s="43">
        <v>42369</v>
      </c>
      <c r="M38" s="44"/>
      <c r="N38" s="44"/>
      <c r="O38" s="44">
        <v>1</v>
      </c>
      <c r="P38" s="44"/>
      <c r="Q38" s="44"/>
      <c r="R38" s="44">
        <v>1</v>
      </c>
      <c r="S38" s="44"/>
      <c r="T38" s="44"/>
      <c r="U38" s="44">
        <v>1</v>
      </c>
      <c r="V38" s="44"/>
      <c r="W38" s="44"/>
      <c r="X38" s="44">
        <v>1</v>
      </c>
      <c r="Y38" s="45">
        <f t="shared" si="5"/>
        <v>4</v>
      </c>
      <c r="Z38" s="75">
        <v>0</v>
      </c>
      <c r="AA38" s="97" t="s">
        <v>1090</v>
      </c>
      <c r="AB38" s="1552">
        <f t="shared" si="6"/>
        <v>0</v>
      </c>
      <c r="AC38" s="1335">
        <f t="shared" si="7"/>
        <v>0</v>
      </c>
      <c r="AD38" s="1552">
        <v>0</v>
      </c>
      <c r="AE38" s="1335" t="s">
        <v>1090</v>
      </c>
      <c r="AF38" s="1630">
        <f t="shared" si="8"/>
        <v>0</v>
      </c>
      <c r="AG38" s="1335">
        <f t="shared" si="9"/>
        <v>0</v>
      </c>
      <c r="AH38" s="1335"/>
      <c r="AI38" s="1334"/>
      <c r="AJ38" s="1335"/>
      <c r="AK38" s="1334"/>
      <c r="AL38" s="1334"/>
      <c r="AM38" s="1692">
        <f t="shared" si="10"/>
        <v>1</v>
      </c>
      <c r="AN38" s="1699">
        <f t="shared" si="0"/>
        <v>1</v>
      </c>
      <c r="AO38" s="1697">
        <v>1</v>
      </c>
      <c r="AP38" s="1699">
        <f t="shared" si="16"/>
        <v>1</v>
      </c>
      <c r="AQ38" s="1699">
        <f t="shared" si="11"/>
        <v>0.25</v>
      </c>
      <c r="AR38" s="1699">
        <f t="shared" si="1"/>
        <v>1</v>
      </c>
      <c r="AS38" s="1743">
        <v>0</v>
      </c>
      <c r="AT38" s="1699">
        <v>0</v>
      </c>
      <c r="AU38" s="1692" t="s">
        <v>2281</v>
      </c>
      <c r="AV38" s="1692"/>
      <c r="AW38" s="210">
        <f t="shared" si="12"/>
        <v>2</v>
      </c>
      <c r="AX38" s="1951">
        <f t="shared" si="2"/>
        <v>1</v>
      </c>
      <c r="AY38" s="1952">
        <v>1</v>
      </c>
      <c r="AZ38" s="1951">
        <f t="shared" si="17"/>
        <v>0.5</v>
      </c>
      <c r="BA38" s="1951">
        <f t="shared" si="13"/>
        <v>0.25</v>
      </c>
      <c r="BB38" s="1951">
        <v>0.25</v>
      </c>
      <c r="BC38" s="1954">
        <v>0</v>
      </c>
      <c r="BD38" s="1951">
        <v>0</v>
      </c>
      <c r="BE38" s="210"/>
      <c r="BF38" s="2415"/>
      <c r="BG38" s="2417">
        <f t="shared" si="14"/>
        <v>2</v>
      </c>
      <c r="BH38" s="2491">
        <f t="shared" si="4"/>
        <v>1</v>
      </c>
      <c r="BI38" s="2416">
        <v>2</v>
      </c>
      <c r="BJ38" s="2492">
        <v>1</v>
      </c>
      <c r="BK38" s="2416"/>
      <c r="BL38" s="2492">
        <v>0.5</v>
      </c>
      <c r="BM38" s="2416"/>
      <c r="BN38" s="2416"/>
      <c r="BO38" s="2416" t="s">
        <v>3003</v>
      </c>
      <c r="BP38" s="2421"/>
    </row>
    <row r="39" spans="1:68" s="211" customFormat="1" ht="64.5" thickBot="1">
      <c r="A39" s="2655"/>
      <c r="B39" s="2655"/>
      <c r="C39" s="2657"/>
      <c r="D39" s="423" t="s">
        <v>392</v>
      </c>
      <c r="E39" s="207" t="s">
        <v>393</v>
      </c>
      <c r="F39" s="110">
        <v>4</v>
      </c>
      <c r="G39" s="111" t="s">
        <v>394</v>
      </c>
      <c r="H39" s="112" t="s">
        <v>395</v>
      </c>
      <c r="I39" s="214">
        <f t="shared" si="23"/>
        <v>0.014285714285714287</v>
      </c>
      <c r="J39" s="112" t="s">
        <v>396</v>
      </c>
      <c r="K39" s="113">
        <v>42005</v>
      </c>
      <c r="L39" s="43">
        <v>42369</v>
      </c>
      <c r="M39" s="44"/>
      <c r="N39" s="44"/>
      <c r="O39" s="44">
        <v>1</v>
      </c>
      <c r="P39" s="44"/>
      <c r="Q39" s="44"/>
      <c r="R39" s="44">
        <v>1</v>
      </c>
      <c r="S39" s="44"/>
      <c r="T39" s="44"/>
      <c r="U39" s="44">
        <v>1</v>
      </c>
      <c r="V39" s="44"/>
      <c r="W39" s="44"/>
      <c r="X39" s="44">
        <v>1</v>
      </c>
      <c r="Y39" s="45">
        <f t="shared" si="5"/>
        <v>4</v>
      </c>
      <c r="Z39" s="75">
        <v>0</v>
      </c>
      <c r="AA39" s="97" t="s">
        <v>1090</v>
      </c>
      <c r="AB39" s="1552">
        <f t="shared" si="6"/>
        <v>0</v>
      </c>
      <c r="AC39" s="1335">
        <f t="shared" si="7"/>
        <v>0</v>
      </c>
      <c r="AD39" s="1552">
        <v>0</v>
      </c>
      <c r="AE39" s="1335" t="s">
        <v>1090</v>
      </c>
      <c r="AF39" s="1630">
        <f t="shared" si="8"/>
        <v>0</v>
      </c>
      <c r="AG39" s="1335">
        <f t="shared" si="9"/>
        <v>0</v>
      </c>
      <c r="AH39" s="1335"/>
      <c r="AI39" s="1334"/>
      <c r="AJ39" s="1335"/>
      <c r="AK39" s="1334"/>
      <c r="AL39" s="1334"/>
      <c r="AM39" s="1692">
        <f t="shared" si="10"/>
        <v>1</v>
      </c>
      <c r="AN39" s="1699">
        <f t="shared" si="0"/>
        <v>1</v>
      </c>
      <c r="AO39" s="1697">
        <v>1</v>
      </c>
      <c r="AP39" s="1699">
        <f t="shared" si="16"/>
        <v>1</v>
      </c>
      <c r="AQ39" s="1699">
        <f t="shared" si="11"/>
        <v>0.25</v>
      </c>
      <c r="AR39" s="1699">
        <f t="shared" si="1"/>
        <v>1</v>
      </c>
      <c r="AS39" s="1743">
        <v>0</v>
      </c>
      <c r="AT39" s="1699">
        <v>0</v>
      </c>
      <c r="AU39" s="1692" t="s">
        <v>2282</v>
      </c>
      <c r="AV39" s="1692"/>
      <c r="AW39" s="210">
        <f t="shared" si="12"/>
        <v>2</v>
      </c>
      <c r="AX39" s="1951">
        <f t="shared" si="2"/>
        <v>1</v>
      </c>
      <c r="AY39" s="1952">
        <v>1</v>
      </c>
      <c r="AZ39" s="1951">
        <f t="shared" si="17"/>
        <v>0.5</v>
      </c>
      <c r="BA39" s="1951">
        <f t="shared" si="13"/>
        <v>0.25</v>
      </c>
      <c r="BB39" s="1951">
        <v>0.25</v>
      </c>
      <c r="BC39" s="1954">
        <v>0</v>
      </c>
      <c r="BD39" s="1951">
        <v>0</v>
      </c>
      <c r="BE39" s="210" t="s">
        <v>2465</v>
      </c>
      <c r="BF39" s="2415"/>
      <c r="BG39" s="2417">
        <f t="shared" si="14"/>
        <v>2</v>
      </c>
      <c r="BH39" s="2491">
        <f t="shared" si="4"/>
        <v>1</v>
      </c>
      <c r="BI39" s="2416">
        <v>2</v>
      </c>
      <c r="BJ39" s="2492">
        <v>1</v>
      </c>
      <c r="BK39" s="2416"/>
      <c r="BL39" s="2492">
        <v>0.5</v>
      </c>
      <c r="BM39" s="2416"/>
      <c r="BN39" s="2416"/>
      <c r="BO39" s="2416" t="s">
        <v>3004</v>
      </c>
      <c r="BP39" s="2421"/>
    </row>
    <row r="40" spans="1:68" s="211" customFormat="1" ht="95.25" customHeight="1" thickBot="1">
      <c r="A40" s="2655"/>
      <c r="B40" s="2655"/>
      <c r="C40" s="2657"/>
      <c r="D40" s="423" t="s">
        <v>398</v>
      </c>
      <c r="E40" s="207" t="s">
        <v>399</v>
      </c>
      <c r="F40" s="110">
        <v>1</v>
      </c>
      <c r="G40" s="111" t="s">
        <v>400</v>
      </c>
      <c r="H40" s="112" t="s">
        <v>401</v>
      </c>
      <c r="I40" s="214">
        <f t="shared" si="23"/>
        <v>0.014285714285714287</v>
      </c>
      <c r="J40" s="112" t="s">
        <v>402</v>
      </c>
      <c r="K40" s="113">
        <v>42005</v>
      </c>
      <c r="L40" s="43">
        <v>42369</v>
      </c>
      <c r="M40" s="44"/>
      <c r="N40" s="44"/>
      <c r="O40" s="44"/>
      <c r="P40" s="44">
        <v>1</v>
      </c>
      <c r="Q40" s="44"/>
      <c r="R40" s="44"/>
      <c r="S40" s="44"/>
      <c r="T40" s="44"/>
      <c r="U40" s="44"/>
      <c r="V40" s="44"/>
      <c r="W40" s="44"/>
      <c r="X40" s="44"/>
      <c r="Y40" s="45">
        <f t="shared" si="5"/>
        <v>1</v>
      </c>
      <c r="Z40" s="75" t="s">
        <v>403</v>
      </c>
      <c r="AA40" s="97" t="s">
        <v>1090</v>
      </c>
      <c r="AB40" s="1552">
        <f t="shared" si="6"/>
        <v>0</v>
      </c>
      <c r="AC40" s="1335">
        <f t="shared" si="7"/>
        <v>0</v>
      </c>
      <c r="AD40" s="1552">
        <v>0</v>
      </c>
      <c r="AE40" s="1335" t="s">
        <v>1090</v>
      </c>
      <c r="AF40" s="1630">
        <f t="shared" si="8"/>
        <v>0</v>
      </c>
      <c r="AG40" s="1335">
        <f t="shared" si="9"/>
        <v>0</v>
      </c>
      <c r="AH40" s="1335"/>
      <c r="AI40" s="1334"/>
      <c r="AJ40" s="1335"/>
      <c r="AK40" s="1334" t="s">
        <v>1850</v>
      </c>
      <c r="AL40" s="1334"/>
      <c r="AM40" s="1692">
        <f t="shared" si="10"/>
        <v>1</v>
      </c>
      <c r="AN40" s="1699">
        <f t="shared" si="0"/>
        <v>1</v>
      </c>
      <c r="AO40" s="1697">
        <v>0</v>
      </c>
      <c r="AP40" s="1699">
        <f t="shared" si="16"/>
        <v>0</v>
      </c>
      <c r="AQ40" s="1699">
        <f t="shared" si="11"/>
        <v>0</v>
      </c>
      <c r="AR40" s="1699">
        <f t="shared" si="1"/>
        <v>0</v>
      </c>
      <c r="AS40" s="1743">
        <v>0</v>
      </c>
      <c r="AT40" s="1699">
        <v>0</v>
      </c>
      <c r="AU40" s="1692" t="s">
        <v>2283</v>
      </c>
      <c r="AV40" s="1692"/>
      <c r="AW40" s="210">
        <f t="shared" si="12"/>
        <v>1</v>
      </c>
      <c r="AX40" s="1951">
        <f t="shared" si="2"/>
        <v>1</v>
      </c>
      <c r="AY40" s="1952">
        <v>0</v>
      </c>
      <c r="AZ40" s="1951">
        <f t="shared" si="17"/>
        <v>0</v>
      </c>
      <c r="BA40" s="1951">
        <f t="shared" si="13"/>
        <v>0</v>
      </c>
      <c r="BB40" s="1951">
        <f t="shared" si="3"/>
        <v>0</v>
      </c>
      <c r="BC40" s="1954">
        <v>0</v>
      </c>
      <c r="BD40" s="1951">
        <v>0</v>
      </c>
      <c r="BE40" s="210"/>
      <c r="BF40" s="2415"/>
      <c r="BG40" s="2417" t="s">
        <v>1090</v>
      </c>
      <c r="BH40" s="2491">
        <f t="shared" si="4"/>
        <v>1</v>
      </c>
      <c r="BI40" s="2416" t="s">
        <v>1090</v>
      </c>
      <c r="BJ40" s="2492" t="s">
        <v>1090</v>
      </c>
      <c r="BK40" s="2416" t="s">
        <v>1090</v>
      </c>
      <c r="BL40" s="2492" t="s">
        <v>1090</v>
      </c>
      <c r="BM40" s="2416" t="s">
        <v>1090</v>
      </c>
      <c r="BN40" s="2416" t="s">
        <v>1090</v>
      </c>
      <c r="BO40" s="2416"/>
      <c r="BP40" s="2421" t="s">
        <v>2987</v>
      </c>
    </row>
    <row r="41" spans="1:68" s="211" customFormat="1" ht="35.25" customHeight="1" thickBot="1">
      <c r="A41" s="2655"/>
      <c r="B41" s="2655"/>
      <c r="C41" s="2657"/>
      <c r="D41" s="423" t="s">
        <v>404</v>
      </c>
      <c r="E41" s="207" t="s">
        <v>405</v>
      </c>
      <c r="F41" s="110">
        <v>1</v>
      </c>
      <c r="G41" s="111" t="s">
        <v>406</v>
      </c>
      <c r="H41" s="112" t="s">
        <v>386</v>
      </c>
      <c r="I41" s="214">
        <f t="shared" si="23"/>
        <v>0.014285714285714287</v>
      </c>
      <c r="J41" s="112" t="s">
        <v>407</v>
      </c>
      <c r="K41" s="113">
        <v>42010</v>
      </c>
      <c r="L41" s="43">
        <v>42369</v>
      </c>
      <c r="M41" s="44"/>
      <c r="N41" s="44"/>
      <c r="O41" s="44"/>
      <c r="P41" s="44"/>
      <c r="Q41" s="44"/>
      <c r="R41" s="44"/>
      <c r="S41" s="44"/>
      <c r="T41" s="44"/>
      <c r="U41" s="44"/>
      <c r="V41" s="44"/>
      <c r="W41" s="44">
        <v>1</v>
      </c>
      <c r="X41" s="44"/>
      <c r="Y41" s="45">
        <f t="shared" si="5"/>
        <v>1</v>
      </c>
      <c r="Z41" s="75">
        <v>20000000</v>
      </c>
      <c r="AA41" s="97" t="s">
        <v>1090</v>
      </c>
      <c r="AB41" s="1552">
        <f t="shared" si="6"/>
        <v>0</v>
      </c>
      <c r="AC41" s="1335">
        <f t="shared" si="7"/>
        <v>0</v>
      </c>
      <c r="AD41" s="1552">
        <v>0</v>
      </c>
      <c r="AE41" s="1335" t="s">
        <v>1090</v>
      </c>
      <c r="AF41" s="1630">
        <f t="shared" si="8"/>
        <v>0</v>
      </c>
      <c r="AG41" s="1335">
        <f t="shared" si="9"/>
        <v>0</v>
      </c>
      <c r="AH41" s="1335"/>
      <c r="AI41" s="1334"/>
      <c r="AJ41" s="1335"/>
      <c r="AK41" s="1334"/>
      <c r="AL41" s="1334"/>
      <c r="AM41" s="1692">
        <f t="shared" si="10"/>
        <v>0</v>
      </c>
      <c r="AN41" s="1699">
        <f t="shared" si="0"/>
        <v>0</v>
      </c>
      <c r="AO41" s="1697">
        <v>0</v>
      </c>
      <c r="AP41" s="1699" t="s">
        <v>1090</v>
      </c>
      <c r="AQ41" s="1699">
        <f t="shared" si="11"/>
        <v>0</v>
      </c>
      <c r="AR41" s="1699">
        <v>0</v>
      </c>
      <c r="AS41" s="1743">
        <v>0</v>
      </c>
      <c r="AT41" s="1699">
        <v>0</v>
      </c>
      <c r="AU41" s="1692"/>
      <c r="AV41" s="1692"/>
      <c r="AW41" s="210">
        <f t="shared" si="12"/>
        <v>0</v>
      </c>
      <c r="AX41" s="1951">
        <f t="shared" si="2"/>
        <v>0</v>
      </c>
      <c r="AY41" s="1952">
        <v>0</v>
      </c>
      <c r="AZ41" s="1951" t="s">
        <v>1090</v>
      </c>
      <c r="BA41" s="1951">
        <f t="shared" si="13"/>
        <v>0</v>
      </c>
      <c r="BB41" s="1951">
        <v>0</v>
      </c>
      <c r="BC41" s="1954">
        <v>0</v>
      </c>
      <c r="BD41" s="1951">
        <v>0</v>
      </c>
      <c r="BE41" s="210"/>
      <c r="BF41" s="2415"/>
      <c r="BG41" s="2417">
        <f t="shared" si="14"/>
        <v>0</v>
      </c>
      <c r="BH41" s="2491">
        <f t="shared" si="4"/>
        <v>0</v>
      </c>
      <c r="BI41" s="2416" t="s">
        <v>1090</v>
      </c>
      <c r="BJ41" s="2492" t="s">
        <v>1090</v>
      </c>
      <c r="BK41" s="2416"/>
      <c r="BL41" s="2492">
        <v>0</v>
      </c>
      <c r="BM41" s="2416"/>
      <c r="BN41" s="2416"/>
      <c r="BO41" s="2416"/>
      <c r="BP41" s="2421"/>
    </row>
    <row r="42" spans="1:68" s="211" customFormat="1" ht="47.25" customHeight="1" thickBot="1">
      <c r="A42" s="2655"/>
      <c r="B42" s="2655"/>
      <c r="C42" s="2656" t="s">
        <v>408</v>
      </c>
      <c r="D42" s="423" t="s">
        <v>409</v>
      </c>
      <c r="E42" s="207" t="s">
        <v>72</v>
      </c>
      <c r="F42" s="110">
        <v>3</v>
      </c>
      <c r="G42" s="111" t="s">
        <v>410</v>
      </c>
      <c r="H42" s="112" t="s">
        <v>411</v>
      </c>
      <c r="I42" s="214">
        <v>0.05</v>
      </c>
      <c r="J42" s="112" t="s">
        <v>412</v>
      </c>
      <c r="K42" s="113">
        <v>42005</v>
      </c>
      <c r="L42" s="43">
        <v>42369</v>
      </c>
      <c r="M42" s="44"/>
      <c r="N42" s="44">
        <v>3</v>
      </c>
      <c r="O42" s="44"/>
      <c r="P42" s="44"/>
      <c r="Q42" s="44"/>
      <c r="R42" s="44"/>
      <c r="S42" s="44"/>
      <c r="T42" s="44"/>
      <c r="U42" s="44"/>
      <c r="V42" s="44"/>
      <c r="W42" s="44"/>
      <c r="X42" s="44"/>
      <c r="Y42" s="45">
        <f t="shared" si="5"/>
        <v>3</v>
      </c>
      <c r="Z42" s="75">
        <v>0</v>
      </c>
      <c r="AA42" s="97" t="s">
        <v>1090</v>
      </c>
      <c r="AB42" s="1552">
        <f t="shared" si="6"/>
        <v>3</v>
      </c>
      <c r="AC42" s="1335">
        <f t="shared" si="7"/>
        <v>1</v>
      </c>
      <c r="AD42" s="1552">
        <v>2</v>
      </c>
      <c r="AE42" s="1335">
        <f t="shared" si="15"/>
        <v>0.6666666666666666</v>
      </c>
      <c r="AF42" s="1630">
        <f t="shared" si="8"/>
        <v>0.6666666666666666</v>
      </c>
      <c r="AG42" s="1335">
        <f t="shared" si="9"/>
        <v>0.6666666666666666</v>
      </c>
      <c r="AH42" s="1335"/>
      <c r="AI42" s="1334"/>
      <c r="AJ42" s="1335"/>
      <c r="AK42" s="1334" t="s">
        <v>1851</v>
      </c>
      <c r="AL42" s="1334" t="s">
        <v>1852</v>
      </c>
      <c r="AM42" s="1692">
        <f t="shared" si="10"/>
        <v>3</v>
      </c>
      <c r="AN42" s="1699">
        <f t="shared" si="0"/>
        <v>1</v>
      </c>
      <c r="AO42" s="1697">
        <v>0</v>
      </c>
      <c r="AP42" s="1699">
        <f t="shared" si="16"/>
        <v>0</v>
      </c>
      <c r="AQ42" s="1699">
        <f t="shared" si="11"/>
        <v>0</v>
      </c>
      <c r="AR42" s="1699">
        <f t="shared" si="1"/>
        <v>0</v>
      </c>
      <c r="AS42" s="1743">
        <v>0</v>
      </c>
      <c r="AT42" s="1699">
        <v>0</v>
      </c>
      <c r="AU42" s="1692"/>
      <c r="AV42" s="1692"/>
      <c r="AW42" s="210">
        <f t="shared" si="12"/>
        <v>3</v>
      </c>
      <c r="AX42" s="1951">
        <f t="shared" si="2"/>
        <v>1</v>
      </c>
      <c r="AY42" s="1952">
        <v>2</v>
      </c>
      <c r="AZ42" s="1951">
        <f t="shared" si="17"/>
        <v>0.6666666666666666</v>
      </c>
      <c r="BA42" s="1951">
        <f t="shared" si="13"/>
        <v>0.6666666666666666</v>
      </c>
      <c r="BB42" s="1951">
        <f t="shared" si="3"/>
        <v>0.6666666666666666</v>
      </c>
      <c r="BC42" s="1954">
        <v>0</v>
      </c>
      <c r="BD42" s="1951">
        <v>0</v>
      </c>
      <c r="BE42" s="210"/>
      <c r="BF42" s="2415"/>
      <c r="BG42" s="2417">
        <f t="shared" si="14"/>
        <v>3</v>
      </c>
      <c r="BH42" s="2491">
        <f t="shared" si="4"/>
        <v>1</v>
      </c>
      <c r="BI42" s="2416">
        <v>4</v>
      </c>
      <c r="BJ42" s="2492">
        <v>1</v>
      </c>
      <c r="BK42" s="2416"/>
      <c r="BL42" s="2492">
        <v>1</v>
      </c>
      <c r="BM42" s="2416"/>
      <c r="BN42" s="2416"/>
      <c r="BO42" s="2416"/>
      <c r="BP42" s="2421"/>
    </row>
    <row r="43" spans="1:68" s="211" customFormat="1" ht="62.25" customHeight="1" thickBot="1">
      <c r="A43" s="2655"/>
      <c r="B43" s="2655"/>
      <c r="C43" s="2657"/>
      <c r="D43" s="423" t="s">
        <v>413</v>
      </c>
      <c r="E43" s="207" t="s">
        <v>414</v>
      </c>
      <c r="F43" s="110">
        <v>2</v>
      </c>
      <c r="G43" s="111" t="s">
        <v>415</v>
      </c>
      <c r="H43" s="112" t="s">
        <v>416</v>
      </c>
      <c r="I43" s="214">
        <v>0.05</v>
      </c>
      <c r="J43" s="112" t="s">
        <v>320</v>
      </c>
      <c r="K43" s="113">
        <v>42005</v>
      </c>
      <c r="L43" s="43">
        <v>42037</v>
      </c>
      <c r="M43" s="44"/>
      <c r="N43" s="44">
        <v>2</v>
      </c>
      <c r="O43" s="44"/>
      <c r="P43" s="44"/>
      <c r="Q43" s="44"/>
      <c r="R43" s="44"/>
      <c r="S43" s="44"/>
      <c r="T43" s="44"/>
      <c r="U43" s="44"/>
      <c r="V43" s="44"/>
      <c r="W43" s="44"/>
      <c r="X43" s="44"/>
      <c r="Y43" s="45">
        <f t="shared" si="5"/>
        <v>2</v>
      </c>
      <c r="Z43" s="75">
        <v>0</v>
      </c>
      <c r="AA43" s="97" t="s">
        <v>1090</v>
      </c>
      <c r="AB43" s="1552">
        <f t="shared" si="6"/>
        <v>2</v>
      </c>
      <c r="AC43" s="1335">
        <f t="shared" si="7"/>
        <v>1</v>
      </c>
      <c r="AD43" s="1552">
        <v>3</v>
      </c>
      <c r="AE43" s="1335">
        <f t="shared" si="15"/>
        <v>1.5</v>
      </c>
      <c r="AF43" s="1630">
        <f t="shared" si="8"/>
        <v>1.5</v>
      </c>
      <c r="AG43" s="1335">
        <f t="shared" si="9"/>
        <v>1.5</v>
      </c>
      <c r="AH43" s="1335"/>
      <c r="AI43" s="1334"/>
      <c r="AJ43" s="1335"/>
      <c r="AK43" s="1334" t="s">
        <v>1853</v>
      </c>
      <c r="AL43" s="1334"/>
      <c r="AM43" s="1692">
        <f t="shared" si="10"/>
        <v>2</v>
      </c>
      <c r="AN43" s="1699">
        <f t="shared" si="0"/>
        <v>1</v>
      </c>
      <c r="AO43" s="1697">
        <v>0</v>
      </c>
      <c r="AP43" s="1699">
        <f t="shared" si="16"/>
        <v>0</v>
      </c>
      <c r="AQ43" s="1699">
        <f t="shared" si="11"/>
        <v>0</v>
      </c>
      <c r="AR43" s="1699">
        <f t="shared" si="1"/>
        <v>0</v>
      </c>
      <c r="AS43" s="1743">
        <v>0</v>
      </c>
      <c r="AT43" s="1699">
        <v>0</v>
      </c>
      <c r="AU43" s="1692"/>
      <c r="AV43" s="1692"/>
      <c r="AW43" s="210">
        <f t="shared" si="12"/>
        <v>2</v>
      </c>
      <c r="AX43" s="1951">
        <f t="shared" si="2"/>
        <v>1</v>
      </c>
      <c r="AY43" s="1952">
        <v>3</v>
      </c>
      <c r="AZ43" s="1951">
        <v>1</v>
      </c>
      <c r="BA43" s="1951">
        <v>1</v>
      </c>
      <c r="BB43" s="1951">
        <f t="shared" si="3"/>
        <v>1</v>
      </c>
      <c r="BC43" s="1954">
        <v>0</v>
      </c>
      <c r="BD43" s="1951">
        <v>0</v>
      </c>
      <c r="BE43" s="210"/>
      <c r="BF43" s="2415"/>
      <c r="BG43" s="2417">
        <f t="shared" si="14"/>
        <v>2</v>
      </c>
      <c r="BH43" s="2491">
        <f t="shared" si="4"/>
        <v>1</v>
      </c>
      <c r="BI43" s="2416">
        <v>6</v>
      </c>
      <c r="BJ43" s="2492">
        <v>1</v>
      </c>
      <c r="BK43" s="2416"/>
      <c r="BL43" s="2492">
        <v>1</v>
      </c>
      <c r="BM43" s="2416"/>
      <c r="BN43" s="2416"/>
      <c r="BO43" s="2416"/>
      <c r="BP43" s="2421"/>
    </row>
    <row r="44" spans="1:68" s="211" customFormat="1" ht="33.75" customHeight="1" thickBot="1">
      <c r="A44" s="2655"/>
      <c r="B44" s="2655"/>
      <c r="C44" s="2657"/>
      <c r="D44" s="423" t="s">
        <v>417</v>
      </c>
      <c r="E44" s="207" t="s">
        <v>72</v>
      </c>
      <c r="F44" s="110">
        <v>1</v>
      </c>
      <c r="G44" s="111" t="s">
        <v>296</v>
      </c>
      <c r="H44" s="112" t="s">
        <v>418</v>
      </c>
      <c r="I44" s="214">
        <f>10%/8</f>
        <v>0.0125</v>
      </c>
      <c r="J44" s="112" t="s">
        <v>72</v>
      </c>
      <c r="K44" s="113">
        <v>42037</v>
      </c>
      <c r="L44" s="43">
        <v>42037</v>
      </c>
      <c r="M44" s="44"/>
      <c r="N44" s="44">
        <v>1</v>
      </c>
      <c r="O44" s="44"/>
      <c r="P44" s="44"/>
      <c r="Q44" s="44"/>
      <c r="R44" s="44"/>
      <c r="S44" s="44"/>
      <c r="T44" s="44"/>
      <c r="U44" s="44"/>
      <c r="V44" s="44"/>
      <c r="W44" s="44"/>
      <c r="X44" s="44"/>
      <c r="Y44" s="45">
        <f t="shared" si="5"/>
        <v>1</v>
      </c>
      <c r="Z44" s="75">
        <v>0</v>
      </c>
      <c r="AA44" s="97" t="s">
        <v>1090</v>
      </c>
      <c r="AB44" s="1552">
        <f t="shared" si="6"/>
        <v>1</v>
      </c>
      <c r="AC44" s="1335">
        <f t="shared" si="7"/>
        <v>1</v>
      </c>
      <c r="AD44" s="1552">
        <v>1</v>
      </c>
      <c r="AE44" s="1335">
        <f t="shared" si="15"/>
        <v>1</v>
      </c>
      <c r="AF44" s="1630">
        <f t="shared" si="8"/>
        <v>1</v>
      </c>
      <c r="AG44" s="1335">
        <f t="shared" si="9"/>
        <v>1</v>
      </c>
      <c r="AH44" s="1335"/>
      <c r="AI44" s="1334"/>
      <c r="AJ44" s="1335"/>
      <c r="AK44" s="1334" t="s">
        <v>1854</v>
      </c>
      <c r="AL44" s="1334"/>
      <c r="AM44" s="1692">
        <f t="shared" si="10"/>
        <v>1</v>
      </c>
      <c r="AN44" s="1699">
        <f t="shared" si="0"/>
        <v>1</v>
      </c>
      <c r="AO44" s="1697">
        <v>0</v>
      </c>
      <c r="AP44" s="1699">
        <f t="shared" si="16"/>
        <v>0</v>
      </c>
      <c r="AQ44" s="1699">
        <f t="shared" si="11"/>
        <v>0</v>
      </c>
      <c r="AR44" s="1699">
        <f t="shared" si="1"/>
        <v>0</v>
      </c>
      <c r="AS44" s="1743">
        <v>0</v>
      </c>
      <c r="AT44" s="1699">
        <v>0</v>
      </c>
      <c r="AU44" s="1692"/>
      <c r="AV44" s="1692"/>
      <c r="AW44" s="210">
        <f t="shared" si="12"/>
        <v>1</v>
      </c>
      <c r="AX44" s="1951">
        <f t="shared" si="2"/>
        <v>1</v>
      </c>
      <c r="AY44" s="1952">
        <v>1</v>
      </c>
      <c r="AZ44" s="1951">
        <f t="shared" si="17"/>
        <v>1</v>
      </c>
      <c r="BA44" s="1951">
        <f t="shared" si="13"/>
        <v>1</v>
      </c>
      <c r="BB44" s="1951">
        <f t="shared" si="3"/>
        <v>1</v>
      </c>
      <c r="BC44" s="1954">
        <v>0</v>
      </c>
      <c r="BD44" s="1951">
        <v>0</v>
      </c>
      <c r="BE44" s="210"/>
      <c r="BF44" s="2415"/>
      <c r="BG44" s="2417">
        <f t="shared" si="14"/>
        <v>1</v>
      </c>
      <c r="BH44" s="2491">
        <f t="shared" si="4"/>
        <v>1</v>
      </c>
      <c r="BI44" s="2416">
        <v>2</v>
      </c>
      <c r="BJ44" s="2492">
        <v>1</v>
      </c>
      <c r="BK44" s="2416"/>
      <c r="BL44" s="2492">
        <v>1</v>
      </c>
      <c r="BM44" s="2416"/>
      <c r="BN44" s="2416"/>
      <c r="BO44" s="2416"/>
      <c r="BP44" s="2421"/>
    </row>
    <row r="45" spans="1:68" s="211" customFormat="1" ht="48.75" customHeight="1" thickBot="1">
      <c r="A45" s="2655"/>
      <c r="B45" s="2655"/>
      <c r="C45" s="2657"/>
      <c r="D45" s="423" t="s">
        <v>419</v>
      </c>
      <c r="E45" s="207" t="s">
        <v>420</v>
      </c>
      <c r="F45" s="110">
        <v>2</v>
      </c>
      <c r="G45" s="111" t="s">
        <v>421</v>
      </c>
      <c r="H45" s="112" t="s">
        <v>418</v>
      </c>
      <c r="I45" s="214">
        <f aca="true" t="shared" si="25" ref="I45:I51">10%/8</f>
        <v>0.0125</v>
      </c>
      <c r="J45" s="112" t="s">
        <v>422</v>
      </c>
      <c r="K45" s="113">
        <v>42037</v>
      </c>
      <c r="L45" s="43">
        <v>42037</v>
      </c>
      <c r="M45" s="44"/>
      <c r="N45" s="44">
        <v>2</v>
      </c>
      <c r="O45" s="44"/>
      <c r="P45" s="44"/>
      <c r="Q45" s="44"/>
      <c r="R45" s="44"/>
      <c r="S45" s="44"/>
      <c r="T45" s="44"/>
      <c r="U45" s="44"/>
      <c r="V45" s="44"/>
      <c r="W45" s="44"/>
      <c r="X45" s="44"/>
      <c r="Y45" s="45">
        <f t="shared" si="5"/>
        <v>2</v>
      </c>
      <c r="Z45" s="75">
        <v>0</v>
      </c>
      <c r="AA45" s="97" t="s">
        <v>1090</v>
      </c>
      <c r="AB45" s="1552">
        <f t="shared" si="6"/>
        <v>2</v>
      </c>
      <c r="AC45" s="1335">
        <f t="shared" si="7"/>
        <v>1</v>
      </c>
      <c r="AD45" s="1552">
        <v>2</v>
      </c>
      <c r="AE45" s="1335">
        <f t="shared" si="15"/>
        <v>1</v>
      </c>
      <c r="AF45" s="1630">
        <f t="shared" si="8"/>
        <v>1</v>
      </c>
      <c r="AG45" s="1335">
        <f t="shared" si="9"/>
        <v>1</v>
      </c>
      <c r="AH45" s="1335"/>
      <c r="AI45" s="1334"/>
      <c r="AJ45" s="1335"/>
      <c r="AK45" s="1334" t="s">
        <v>1855</v>
      </c>
      <c r="AL45" s="1334"/>
      <c r="AM45" s="1692">
        <f t="shared" si="10"/>
        <v>2</v>
      </c>
      <c r="AN45" s="1699">
        <f t="shared" si="0"/>
        <v>1</v>
      </c>
      <c r="AO45" s="1697">
        <v>0</v>
      </c>
      <c r="AP45" s="1699">
        <f t="shared" si="16"/>
        <v>0</v>
      </c>
      <c r="AQ45" s="1699">
        <f t="shared" si="11"/>
        <v>0</v>
      </c>
      <c r="AR45" s="1699">
        <f t="shared" si="1"/>
        <v>0</v>
      </c>
      <c r="AS45" s="1743">
        <v>0</v>
      </c>
      <c r="AT45" s="1699">
        <v>0</v>
      </c>
      <c r="AU45" s="1692"/>
      <c r="AV45" s="1692"/>
      <c r="AW45" s="210">
        <f t="shared" si="12"/>
        <v>2</v>
      </c>
      <c r="AX45" s="1951">
        <f t="shared" si="2"/>
        <v>1</v>
      </c>
      <c r="AY45" s="1952">
        <v>2</v>
      </c>
      <c r="AZ45" s="1951">
        <f t="shared" si="17"/>
        <v>1</v>
      </c>
      <c r="BA45" s="1951">
        <f t="shared" si="13"/>
        <v>1</v>
      </c>
      <c r="BB45" s="1951">
        <f t="shared" si="3"/>
        <v>1</v>
      </c>
      <c r="BC45" s="1954">
        <v>0</v>
      </c>
      <c r="BD45" s="1951">
        <v>0</v>
      </c>
      <c r="BE45" s="210"/>
      <c r="BF45" s="2415"/>
      <c r="BG45" s="2417">
        <f t="shared" si="14"/>
        <v>2</v>
      </c>
      <c r="BH45" s="2491">
        <f t="shared" si="4"/>
        <v>1</v>
      </c>
      <c r="BI45" s="2416">
        <v>2</v>
      </c>
      <c r="BJ45" s="2492">
        <v>1</v>
      </c>
      <c r="BK45" s="2416"/>
      <c r="BL45" s="2492">
        <v>1</v>
      </c>
      <c r="BM45" s="2416"/>
      <c r="BN45" s="2416"/>
      <c r="BO45" s="2416"/>
      <c r="BP45" s="2421"/>
    </row>
    <row r="46" spans="1:68" s="211" customFormat="1" ht="69.75" customHeight="1" thickBot="1">
      <c r="A46" s="2655"/>
      <c r="B46" s="2655"/>
      <c r="C46" s="2657"/>
      <c r="D46" s="423" t="s">
        <v>423</v>
      </c>
      <c r="E46" s="207" t="s">
        <v>424</v>
      </c>
      <c r="F46" s="110">
        <v>2</v>
      </c>
      <c r="G46" s="111" t="s">
        <v>425</v>
      </c>
      <c r="H46" s="112" t="s">
        <v>418</v>
      </c>
      <c r="I46" s="214">
        <f t="shared" si="25"/>
        <v>0.0125</v>
      </c>
      <c r="J46" s="112" t="s">
        <v>426</v>
      </c>
      <c r="K46" s="113">
        <v>42192</v>
      </c>
      <c r="L46" s="43">
        <v>42369</v>
      </c>
      <c r="M46" s="44"/>
      <c r="N46" s="44"/>
      <c r="O46" s="44"/>
      <c r="P46" s="44"/>
      <c r="Q46" s="44"/>
      <c r="R46" s="44"/>
      <c r="S46" s="44">
        <v>2</v>
      </c>
      <c r="T46" s="44"/>
      <c r="U46" s="44"/>
      <c r="V46" s="44"/>
      <c r="W46" s="44"/>
      <c r="X46" s="44"/>
      <c r="Y46" s="45">
        <f t="shared" si="5"/>
        <v>2</v>
      </c>
      <c r="Z46" s="75">
        <v>0</v>
      </c>
      <c r="AA46" s="97" t="s">
        <v>1090</v>
      </c>
      <c r="AB46" s="1552">
        <f t="shared" si="6"/>
        <v>0</v>
      </c>
      <c r="AC46" s="1335">
        <f t="shared" si="7"/>
        <v>0</v>
      </c>
      <c r="AD46" s="1552">
        <v>0</v>
      </c>
      <c r="AE46" s="1335" t="s">
        <v>1090</v>
      </c>
      <c r="AF46" s="1630">
        <f t="shared" si="8"/>
        <v>0</v>
      </c>
      <c r="AG46" s="1335">
        <f t="shared" si="9"/>
        <v>0</v>
      </c>
      <c r="AH46" s="1335"/>
      <c r="AI46" s="1334"/>
      <c r="AJ46" s="1335"/>
      <c r="AK46" s="1334"/>
      <c r="AL46" s="1334"/>
      <c r="AM46" s="1692">
        <f t="shared" si="10"/>
        <v>0</v>
      </c>
      <c r="AN46" s="1699">
        <f t="shared" si="0"/>
        <v>0</v>
      </c>
      <c r="AO46" s="1697">
        <v>0</v>
      </c>
      <c r="AP46" s="1699" t="s">
        <v>1090</v>
      </c>
      <c r="AQ46" s="1699">
        <f t="shared" si="11"/>
        <v>0</v>
      </c>
      <c r="AR46" s="1699">
        <v>0</v>
      </c>
      <c r="AS46" s="1743">
        <v>0</v>
      </c>
      <c r="AT46" s="1699">
        <v>0</v>
      </c>
      <c r="AU46" s="1692"/>
      <c r="AV46" s="1692"/>
      <c r="AW46" s="210">
        <f t="shared" si="12"/>
        <v>0</v>
      </c>
      <c r="AX46" s="1951">
        <f t="shared" si="2"/>
        <v>0</v>
      </c>
      <c r="AY46" s="1952">
        <v>0</v>
      </c>
      <c r="AZ46" s="1951" t="s">
        <v>1090</v>
      </c>
      <c r="BA46" s="1951">
        <f t="shared" si="13"/>
        <v>0</v>
      </c>
      <c r="BB46" s="1951">
        <v>0</v>
      </c>
      <c r="BC46" s="1954">
        <v>0</v>
      </c>
      <c r="BD46" s="1951">
        <v>0</v>
      </c>
      <c r="BE46" s="210"/>
      <c r="BF46" s="2415"/>
      <c r="BG46" s="2417">
        <f t="shared" si="14"/>
        <v>2</v>
      </c>
      <c r="BH46" s="2491">
        <f t="shared" si="4"/>
        <v>1</v>
      </c>
      <c r="BI46" s="2416">
        <v>1</v>
      </c>
      <c r="BJ46" s="2492">
        <v>0.5</v>
      </c>
      <c r="BK46" s="2416"/>
      <c r="BL46" s="2492">
        <v>0.5</v>
      </c>
      <c r="BM46" s="2416"/>
      <c r="BN46" s="2416"/>
      <c r="BO46" s="2416" t="s">
        <v>3005</v>
      </c>
      <c r="BP46" s="2421"/>
    </row>
    <row r="47" spans="1:68" s="211" customFormat="1" ht="89.25" customHeight="1" thickBot="1">
      <c r="A47" s="2655"/>
      <c r="B47" s="2655"/>
      <c r="C47" s="2657"/>
      <c r="D47" s="423" t="s">
        <v>427</v>
      </c>
      <c r="E47" s="207" t="s">
        <v>328</v>
      </c>
      <c r="F47" s="110">
        <v>3</v>
      </c>
      <c r="G47" s="111" t="s">
        <v>428</v>
      </c>
      <c r="H47" s="112" t="s">
        <v>418</v>
      </c>
      <c r="I47" s="214">
        <f t="shared" si="25"/>
        <v>0.0125</v>
      </c>
      <c r="J47" s="112" t="s">
        <v>429</v>
      </c>
      <c r="K47" s="113">
        <v>42066</v>
      </c>
      <c r="L47" s="43">
        <v>42369</v>
      </c>
      <c r="M47" s="44"/>
      <c r="N47" s="44">
        <v>1</v>
      </c>
      <c r="O47" s="44"/>
      <c r="P47" s="44"/>
      <c r="Q47" s="44"/>
      <c r="R47" s="44">
        <v>1</v>
      </c>
      <c r="S47" s="44"/>
      <c r="T47" s="44"/>
      <c r="U47" s="44"/>
      <c r="V47" s="44"/>
      <c r="W47" s="44">
        <v>1</v>
      </c>
      <c r="X47" s="44"/>
      <c r="Y47" s="45">
        <f t="shared" si="5"/>
        <v>3</v>
      </c>
      <c r="Z47" s="75">
        <v>5000000</v>
      </c>
      <c r="AA47" s="97" t="s">
        <v>1090</v>
      </c>
      <c r="AB47" s="1552">
        <f t="shared" si="6"/>
        <v>1</v>
      </c>
      <c r="AC47" s="1335">
        <f t="shared" si="7"/>
        <v>1</v>
      </c>
      <c r="AD47" s="1552">
        <v>2</v>
      </c>
      <c r="AE47" s="1335">
        <f t="shared" si="15"/>
        <v>2</v>
      </c>
      <c r="AF47" s="1630">
        <f t="shared" si="8"/>
        <v>0.6666666666666666</v>
      </c>
      <c r="AG47" s="1335">
        <f t="shared" si="9"/>
        <v>0.6666666666666666</v>
      </c>
      <c r="AH47" s="1335"/>
      <c r="AI47" s="1334"/>
      <c r="AJ47" s="1335"/>
      <c r="AK47" s="1334" t="s">
        <v>1856</v>
      </c>
      <c r="AL47" s="1334"/>
      <c r="AM47" s="1692">
        <f t="shared" si="10"/>
        <v>1</v>
      </c>
      <c r="AN47" s="1699">
        <f t="shared" si="0"/>
        <v>1</v>
      </c>
      <c r="AO47" s="1697">
        <v>3</v>
      </c>
      <c r="AP47" s="1699">
        <v>1</v>
      </c>
      <c r="AQ47" s="1699">
        <f t="shared" si="11"/>
        <v>1</v>
      </c>
      <c r="AR47" s="1699">
        <f t="shared" si="1"/>
        <v>1</v>
      </c>
      <c r="AS47" s="1743">
        <v>0</v>
      </c>
      <c r="AT47" s="1699">
        <v>0</v>
      </c>
      <c r="AU47" s="1692" t="s">
        <v>2284</v>
      </c>
      <c r="AV47" s="1692"/>
      <c r="AW47" s="210">
        <f t="shared" si="12"/>
        <v>2</v>
      </c>
      <c r="AX47" s="1951">
        <f t="shared" si="2"/>
        <v>1</v>
      </c>
      <c r="AY47" s="1952">
        <v>5</v>
      </c>
      <c r="AZ47" s="1951">
        <v>1</v>
      </c>
      <c r="BA47" s="1951">
        <v>1</v>
      </c>
      <c r="BB47" s="1951">
        <f t="shared" si="3"/>
        <v>1</v>
      </c>
      <c r="BC47" s="1954">
        <v>0</v>
      </c>
      <c r="BD47" s="1951">
        <v>0</v>
      </c>
      <c r="BE47" s="210" t="s">
        <v>2469</v>
      </c>
      <c r="BF47" s="2415"/>
      <c r="BG47" s="2417">
        <f t="shared" si="14"/>
        <v>2</v>
      </c>
      <c r="BH47" s="2491">
        <f t="shared" si="4"/>
        <v>1</v>
      </c>
      <c r="BI47" s="2416">
        <v>2</v>
      </c>
      <c r="BJ47" s="2492">
        <v>1</v>
      </c>
      <c r="BK47" s="2416"/>
      <c r="BL47" s="2492">
        <f>BI47/Y47</f>
        <v>0.6666666666666666</v>
      </c>
      <c r="BM47" s="2416"/>
      <c r="BN47" s="2416"/>
      <c r="BO47" s="2416"/>
      <c r="BP47" s="2421"/>
    </row>
    <row r="48" spans="1:68" s="211" customFormat="1" ht="54" customHeight="1" thickBot="1">
      <c r="A48" s="2655"/>
      <c r="B48" s="2655"/>
      <c r="C48" s="2657"/>
      <c r="D48" s="423" t="s">
        <v>430</v>
      </c>
      <c r="E48" s="207" t="s">
        <v>305</v>
      </c>
      <c r="F48" s="110">
        <v>11</v>
      </c>
      <c r="G48" s="111" t="s">
        <v>306</v>
      </c>
      <c r="H48" s="112" t="s">
        <v>418</v>
      </c>
      <c r="I48" s="214">
        <f t="shared" si="25"/>
        <v>0.0125</v>
      </c>
      <c r="J48" s="112" t="s">
        <v>308</v>
      </c>
      <c r="K48" s="113">
        <v>42037</v>
      </c>
      <c r="L48" s="43">
        <v>42369</v>
      </c>
      <c r="M48" s="44"/>
      <c r="N48" s="44">
        <v>1</v>
      </c>
      <c r="O48" s="44">
        <v>1</v>
      </c>
      <c r="P48" s="44">
        <v>1</v>
      </c>
      <c r="Q48" s="44">
        <v>1</v>
      </c>
      <c r="R48" s="44">
        <v>1</v>
      </c>
      <c r="S48" s="44">
        <v>1</v>
      </c>
      <c r="T48" s="44">
        <v>1</v>
      </c>
      <c r="U48" s="44">
        <v>1</v>
      </c>
      <c r="V48" s="44">
        <v>1</v>
      </c>
      <c r="W48" s="44">
        <v>1</v>
      </c>
      <c r="X48" s="44">
        <v>1</v>
      </c>
      <c r="Y48" s="45">
        <f t="shared" si="5"/>
        <v>11</v>
      </c>
      <c r="Z48" s="75">
        <v>0</v>
      </c>
      <c r="AA48" s="97" t="s">
        <v>1090</v>
      </c>
      <c r="AB48" s="1552">
        <f t="shared" si="6"/>
        <v>1</v>
      </c>
      <c r="AC48" s="1335">
        <f t="shared" si="7"/>
        <v>1</v>
      </c>
      <c r="AD48" s="1552">
        <v>2</v>
      </c>
      <c r="AE48" s="1335">
        <f t="shared" si="15"/>
        <v>2</v>
      </c>
      <c r="AF48" s="1630">
        <f t="shared" si="8"/>
        <v>0.18181818181818182</v>
      </c>
      <c r="AG48" s="1335">
        <f t="shared" si="9"/>
        <v>0.18181818181818182</v>
      </c>
      <c r="AH48" s="1335"/>
      <c r="AI48" s="1334"/>
      <c r="AJ48" s="1335"/>
      <c r="AK48" s="1334" t="s">
        <v>1857</v>
      </c>
      <c r="AL48" s="1334"/>
      <c r="AM48" s="1692">
        <f t="shared" si="10"/>
        <v>3</v>
      </c>
      <c r="AN48" s="1699">
        <f t="shared" si="0"/>
        <v>1</v>
      </c>
      <c r="AO48" s="1697">
        <v>2</v>
      </c>
      <c r="AP48" s="1699">
        <f t="shared" si="16"/>
        <v>0.6666666666666666</v>
      </c>
      <c r="AQ48" s="1699">
        <f t="shared" si="11"/>
        <v>0.18181818181818182</v>
      </c>
      <c r="AR48" s="1699">
        <f t="shared" si="1"/>
        <v>0.6666666666666666</v>
      </c>
      <c r="AS48" s="1743">
        <v>0</v>
      </c>
      <c r="AT48" s="1699">
        <v>0</v>
      </c>
      <c r="AU48" s="1692" t="s">
        <v>2285</v>
      </c>
      <c r="AV48" s="1692"/>
      <c r="AW48" s="210">
        <f t="shared" si="12"/>
        <v>5</v>
      </c>
      <c r="AX48" s="1951">
        <f t="shared" si="2"/>
        <v>1</v>
      </c>
      <c r="AY48" s="1952">
        <v>6</v>
      </c>
      <c r="AZ48" s="1951">
        <v>1</v>
      </c>
      <c r="BA48" s="1951">
        <f t="shared" si="13"/>
        <v>0.5454545454545454</v>
      </c>
      <c r="BB48" s="1951">
        <f>AY48/Y48</f>
        <v>0.5454545454545454</v>
      </c>
      <c r="BC48" s="1954">
        <v>0</v>
      </c>
      <c r="BD48" s="1951">
        <v>0</v>
      </c>
      <c r="BE48" s="210" t="s">
        <v>2468</v>
      </c>
      <c r="BF48" s="2415"/>
      <c r="BG48" s="2417">
        <f t="shared" si="14"/>
        <v>7</v>
      </c>
      <c r="BH48" s="2491">
        <f t="shared" si="4"/>
        <v>1</v>
      </c>
      <c r="BI48" s="2416">
        <v>11</v>
      </c>
      <c r="BJ48" s="2492">
        <v>1</v>
      </c>
      <c r="BK48" s="2416"/>
      <c r="BL48" s="2492">
        <v>1</v>
      </c>
      <c r="BM48" s="2416"/>
      <c r="BN48" s="2416"/>
      <c r="BO48" s="2416" t="s">
        <v>3006</v>
      </c>
      <c r="BP48" s="2421"/>
    </row>
    <row r="49" spans="1:68" s="211" customFormat="1" ht="132.75" thickBot="1">
      <c r="A49" s="2655"/>
      <c r="B49" s="2655"/>
      <c r="C49" s="2657"/>
      <c r="D49" s="107" t="s">
        <v>431</v>
      </c>
      <c r="E49" s="207" t="s">
        <v>432</v>
      </c>
      <c r="F49" s="110">
        <v>6</v>
      </c>
      <c r="G49" s="111" t="s">
        <v>433</v>
      </c>
      <c r="H49" s="112" t="s">
        <v>418</v>
      </c>
      <c r="I49" s="214">
        <f t="shared" si="25"/>
        <v>0.0125</v>
      </c>
      <c r="J49" s="112" t="s">
        <v>434</v>
      </c>
      <c r="K49" s="113">
        <v>42037</v>
      </c>
      <c r="L49" s="43">
        <v>42369</v>
      </c>
      <c r="M49" s="44"/>
      <c r="N49" s="44">
        <v>1</v>
      </c>
      <c r="O49" s="44"/>
      <c r="P49" s="44">
        <v>1</v>
      </c>
      <c r="Q49" s="44"/>
      <c r="R49" s="44">
        <v>1</v>
      </c>
      <c r="S49" s="44"/>
      <c r="T49" s="44">
        <v>1</v>
      </c>
      <c r="U49" s="44"/>
      <c r="V49" s="44">
        <v>1</v>
      </c>
      <c r="W49" s="44"/>
      <c r="X49" s="44">
        <v>1</v>
      </c>
      <c r="Y49" s="45">
        <f t="shared" si="5"/>
        <v>6</v>
      </c>
      <c r="Z49" s="75">
        <v>0</v>
      </c>
      <c r="AA49" s="97" t="s">
        <v>1090</v>
      </c>
      <c r="AB49" s="1552">
        <f t="shared" si="6"/>
        <v>1</v>
      </c>
      <c r="AC49" s="1335">
        <f t="shared" si="7"/>
        <v>1</v>
      </c>
      <c r="AD49" s="1552">
        <v>5</v>
      </c>
      <c r="AE49" s="1335">
        <f t="shared" si="15"/>
        <v>5</v>
      </c>
      <c r="AF49" s="1630">
        <f t="shared" si="8"/>
        <v>0.8333333333333334</v>
      </c>
      <c r="AG49" s="1335">
        <f t="shared" si="9"/>
        <v>0.8333333333333334</v>
      </c>
      <c r="AH49" s="1335"/>
      <c r="AI49" s="1334"/>
      <c r="AJ49" s="1335"/>
      <c r="AK49" s="1334" t="s">
        <v>1858</v>
      </c>
      <c r="AL49" s="1334"/>
      <c r="AM49" s="1692">
        <f t="shared" si="10"/>
        <v>2</v>
      </c>
      <c r="AN49" s="1699">
        <f t="shared" si="0"/>
        <v>1</v>
      </c>
      <c r="AO49" s="1697">
        <v>5</v>
      </c>
      <c r="AP49" s="1699">
        <v>1</v>
      </c>
      <c r="AQ49" s="1699">
        <f t="shared" si="11"/>
        <v>0.8333333333333334</v>
      </c>
      <c r="AR49" s="1699">
        <f t="shared" si="1"/>
        <v>1</v>
      </c>
      <c r="AS49" s="1743">
        <v>0</v>
      </c>
      <c r="AT49" s="1699">
        <v>0</v>
      </c>
      <c r="AU49" s="1692" t="s">
        <v>2286</v>
      </c>
      <c r="AV49" s="1692"/>
      <c r="AW49" s="210">
        <f t="shared" si="12"/>
        <v>3</v>
      </c>
      <c r="AX49" s="1951">
        <f t="shared" si="2"/>
        <v>1</v>
      </c>
      <c r="AY49" s="1952">
        <v>6</v>
      </c>
      <c r="AZ49" s="1951">
        <v>1</v>
      </c>
      <c r="BA49" s="1951">
        <f t="shared" si="13"/>
        <v>1</v>
      </c>
      <c r="BB49" s="1951">
        <f t="shared" si="3"/>
        <v>1</v>
      </c>
      <c r="BC49" s="1954">
        <v>0</v>
      </c>
      <c r="BD49" s="1951">
        <v>0</v>
      </c>
      <c r="BE49" s="210" t="s">
        <v>2470</v>
      </c>
      <c r="BF49" s="2415"/>
      <c r="BG49" s="2417">
        <f t="shared" si="14"/>
        <v>4</v>
      </c>
      <c r="BH49" s="2491">
        <f t="shared" si="4"/>
        <v>1</v>
      </c>
      <c r="BI49" s="2416">
        <v>4</v>
      </c>
      <c r="BJ49" s="2492">
        <v>1</v>
      </c>
      <c r="BK49" s="2416"/>
      <c r="BL49" s="2492">
        <f>BI49/Y49</f>
        <v>0.6666666666666666</v>
      </c>
      <c r="BM49" s="2416"/>
      <c r="BN49" s="2416"/>
      <c r="BO49" s="2416" t="s">
        <v>3007</v>
      </c>
      <c r="BP49" s="2421"/>
    </row>
    <row r="50" spans="1:68" s="211" customFormat="1" ht="45.75" customHeight="1" thickBot="1">
      <c r="A50" s="2655"/>
      <c r="B50" s="2655"/>
      <c r="C50" s="2657"/>
      <c r="D50" s="107" t="s">
        <v>435</v>
      </c>
      <c r="E50" s="207" t="s">
        <v>436</v>
      </c>
      <c r="F50" s="110">
        <v>2</v>
      </c>
      <c r="G50" s="111" t="s">
        <v>437</v>
      </c>
      <c r="H50" s="112" t="s">
        <v>438</v>
      </c>
      <c r="I50" s="214">
        <f t="shared" si="25"/>
        <v>0.0125</v>
      </c>
      <c r="J50" s="112" t="s">
        <v>439</v>
      </c>
      <c r="K50" s="113">
        <v>42038</v>
      </c>
      <c r="L50" s="43">
        <v>42155</v>
      </c>
      <c r="M50" s="44"/>
      <c r="N50" s="44"/>
      <c r="O50" s="44">
        <v>1</v>
      </c>
      <c r="P50" s="44"/>
      <c r="Q50" s="44">
        <v>1</v>
      </c>
      <c r="R50" s="44"/>
      <c r="S50" s="44"/>
      <c r="T50" s="44"/>
      <c r="U50" s="44"/>
      <c r="V50" s="44"/>
      <c r="W50" s="44"/>
      <c r="X50" s="44"/>
      <c r="Y50" s="45">
        <f t="shared" si="5"/>
        <v>2</v>
      </c>
      <c r="Z50" s="75">
        <v>25000000</v>
      </c>
      <c r="AA50" s="97" t="s">
        <v>1090</v>
      </c>
      <c r="AB50" s="1552">
        <f t="shared" si="6"/>
        <v>0</v>
      </c>
      <c r="AC50" s="1335">
        <f t="shared" si="7"/>
        <v>0</v>
      </c>
      <c r="AD50" s="1552">
        <v>0</v>
      </c>
      <c r="AE50" s="1335" t="s">
        <v>1090</v>
      </c>
      <c r="AF50" s="1630">
        <f t="shared" si="8"/>
        <v>0</v>
      </c>
      <c r="AG50" s="1335">
        <f t="shared" si="9"/>
        <v>0</v>
      </c>
      <c r="AH50" s="1335"/>
      <c r="AI50" s="1334"/>
      <c r="AJ50" s="1335"/>
      <c r="AK50" s="1334" t="s">
        <v>1850</v>
      </c>
      <c r="AL50" s="1334"/>
      <c r="AM50" s="1692">
        <f t="shared" si="10"/>
        <v>1</v>
      </c>
      <c r="AN50" s="1699">
        <f t="shared" si="0"/>
        <v>1</v>
      </c>
      <c r="AO50" s="1697">
        <v>0</v>
      </c>
      <c r="AP50" s="1699">
        <f t="shared" si="16"/>
        <v>0</v>
      </c>
      <c r="AQ50" s="1699">
        <f t="shared" si="11"/>
        <v>0</v>
      </c>
      <c r="AR50" s="1699">
        <f t="shared" si="1"/>
        <v>0</v>
      </c>
      <c r="AS50" s="1743">
        <v>0</v>
      </c>
      <c r="AT50" s="1699">
        <v>0</v>
      </c>
      <c r="AU50" s="1692" t="s">
        <v>2287</v>
      </c>
      <c r="AV50" s="1692"/>
      <c r="AW50" s="210">
        <f t="shared" si="12"/>
        <v>2</v>
      </c>
      <c r="AX50" s="1951">
        <f t="shared" si="2"/>
        <v>1</v>
      </c>
      <c r="AY50" s="1952">
        <v>0</v>
      </c>
      <c r="AZ50" s="1951">
        <f t="shared" si="17"/>
        <v>0</v>
      </c>
      <c r="BA50" s="1951">
        <f t="shared" si="13"/>
        <v>0</v>
      </c>
      <c r="BB50" s="1951">
        <f t="shared" si="3"/>
        <v>0</v>
      </c>
      <c r="BC50" s="1954">
        <v>0</v>
      </c>
      <c r="BD50" s="1951">
        <v>0</v>
      </c>
      <c r="BE50" s="210" t="s">
        <v>2471</v>
      </c>
      <c r="BF50" s="2415"/>
      <c r="BG50" s="2417">
        <f t="shared" si="14"/>
        <v>2</v>
      </c>
      <c r="BH50" s="2491">
        <f t="shared" si="4"/>
        <v>1</v>
      </c>
      <c r="BI50" s="2416">
        <v>0</v>
      </c>
      <c r="BJ50" s="2492">
        <v>0</v>
      </c>
      <c r="BK50" s="2416"/>
      <c r="BL50" s="2492">
        <v>0</v>
      </c>
      <c r="BM50" s="2416"/>
      <c r="BN50" s="2416"/>
      <c r="BO50" s="2416"/>
      <c r="BP50" s="2421"/>
    </row>
    <row r="51" spans="1:68" s="211" customFormat="1" ht="51.75" thickBot="1">
      <c r="A51" s="2655"/>
      <c r="B51" s="2655"/>
      <c r="C51" s="2657"/>
      <c r="D51" s="107" t="s">
        <v>440</v>
      </c>
      <c r="E51" s="207" t="s">
        <v>72</v>
      </c>
      <c r="F51" s="110">
        <v>1</v>
      </c>
      <c r="G51" s="111" t="s">
        <v>296</v>
      </c>
      <c r="H51" s="112" t="s">
        <v>297</v>
      </c>
      <c r="I51" s="214">
        <f t="shared" si="25"/>
        <v>0.0125</v>
      </c>
      <c r="J51" s="112" t="s">
        <v>441</v>
      </c>
      <c r="K51" s="113">
        <v>42019</v>
      </c>
      <c r="L51" s="43">
        <v>42034</v>
      </c>
      <c r="M51" s="44">
        <v>1</v>
      </c>
      <c r="N51" s="44"/>
      <c r="O51" s="44"/>
      <c r="P51" s="44"/>
      <c r="Q51" s="44"/>
      <c r="R51" s="44"/>
      <c r="S51" s="44"/>
      <c r="T51" s="44"/>
      <c r="U51" s="44"/>
      <c r="V51" s="44"/>
      <c r="W51" s="44"/>
      <c r="X51" s="44"/>
      <c r="Y51" s="45">
        <f t="shared" si="5"/>
        <v>1</v>
      </c>
      <c r="Z51" s="75">
        <v>0</v>
      </c>
      <c r="AA51" s="97" t="s">
        <v>1090</v>
      </c>
      <c r="AB51" s="1552">
        <f t="shared" si="6"/>
        <v>1</v>
      </c>
      <c r="AC51" s="1335">
        <f t="shared" si="7"/>
        <v>1</v>
      </c>
      <c r="AD51" s="1552">
        <v>1</v>
      </c>
      <c r="AE51" s="1335">
        <f t="shared" si="15"/>
        <v>1</v>
      </c>
      <c r="AF51" s="1630">
        <f t="shared" si="8"/>
        <v>1</v>
      </c>
      <c r="AG51" s="1335">
        <f t="shared" si="9"/>
        <v>1</v>
      </c>
      <c r="AH51" s="1335"/>
      <c r="AI51" s="1334"/>
      <c r="AJ51" s="1335"/>
      <c r="AK51" s="1334" t="s">
        <v>1859</v>
      </c>
      <c r="AL51" s="1334"/>
      <c r="AM51" s="1692">
        <f t="shared" si="10"/>
        <v>1</v>
      </c>
      <c r="AN51" s="1699">
        <f t="shared" si="0"/>
        <v>1</v>
      </c>
      <c r="AO51" s="1697">
        <v>0</v>
      </c>
      <c r="AP51" s="1699">
        <f t="shared" si="16"/>
        <v>0</v>
      </c>
      <c r="AQ51" s="1699">
        <f t="shared" si="11"/>
        <v>0</v>
      </c>
      <c r="AR51" s="1699">
        <f t="shared" si="1"/>
        <v>0</v>
      </c>
      <c r="AS51" s="1743">
        <v>0</v>
      </c>
      <c r="AT51" s="1699">
        <v>0</v>
      </c>
      <c r="AU51" s="1692"/>
      <c r="AV51" s="1692"/>
      <c r="AW51" s="210">
        <f t="shared" si="12"/>
        <v>1</v>
      </c>
      <c r="AX51" s="1951">
        <f t="shared" si="2"/>
        <v>1</v>
      </c>
      <c r="AY51" s="1952">
        <v>1</v>
      </c>
      <c r="AZ51" s="1951">
        <f t="shared" si="17"/>
        <v>1</v>
      </c>
      <c r="BA51" s="1951">
        <f t="shared" si="13"/>
        <v>1</v>
      </c>
      <c r="BB51" s="1951">
        <f t="shared" si="3"/>
        <v>1</v>
      </c>
      <c r="BC51" s="1954">
        <v>0</v>
      </c>
      <c r="BD51" s="1951">
        <v>0</v>
      </c>
      <c r="BE51" s="210"/>
      <c r="BF51" s="2415"/>
      <c r="BG51" s="2417">
        <f t="shared" si="14"/>
        <v>1</v>
      </c>
      <c r="BH51" s="2491">
        <f t="shared" si="4"/>
        <v>1</v>
      </c>
      <c r="BI51" s="2416">
        <v>1</v>
      </c>
      <c r="BJ51" s="2492">
        <v>1</v>
      </c>
      <c r="BK51" s="2416"/>
      <c r="BL51" s="2492">
        <v>1</v>
      </c>
      <c r="BM51" s="2416"/>
      <c r="BN51" s="2416"/>
      <c r="BO51" s="2416"/>
      <c r="BP51" s="2421"/>
    </row>
    <row r="52" spans="1:68" s="211" customFormat="1" ht="66.75" thickBot="1">
      <c r="A52" s="2655"/>
      <c r="B52" s="2655"/>
      <c r="C52" s="2657"/>
      <c r="D52" s="107" t="s">
        <v>442</v>
      </c>
      <c r="E52" s="207" t="s">
        <v>443</v>
      </c>
      <c r="F52" s="110">
        <v>1000</v>
      </c>
      <c r="G52" s="111" t="s">
        <v>444</v>
      </c>
      <c r="H52" s="112" t="s">
        <v>445</v>
      </c>
      <c r="I52" s="214">
        <f>10%/6</f>
        <v>0.016666666666666666</v>
      </c>
      <c r="J52" s="112" t="s">
        <v>446</v>
      </c>
      <c r="K52" s="113">
        <v>42005</v>
      </c>
      <c r="L52" s="43">
        <v>42369</v>
      </c>
      <c r="M52" s="44">
        <f>1000/12</f>
        <v>83.33333333333333</v>
      </c>
      <c r="N52" s="44">
        <f aca="true" t="shared" si="26" ref="N52:X52">1000/12</f>
        <v>83.33333333333333</v>
      </c>
      <c r="O52" s="44">
        <f t="shared" si="26"/>
        <v>83.33333333333333</v>
      </c>
      <c r="P52" s="44">
        <f t="shared" si="26"/>
        <v>83.33333333333333</v>
      </c>
      <c r="Q52" s="44">
        <f t="shared" si="26"/>
        <v>83.33333333333333</v>
      </c>
      <c r="R52" s="44">
        <f t="shared" si="26"/>
        <v>83.33333333333333</v>
      </c>
      <c r="S52" s="44">
        <f t="shared" si="26"/>
        <v>83.33333333333333</v>
      </c>
      <c r="T52" s="44">
        <f t="shared" si="26"/>
        <v>83.33333333333333</v>
      </c>
      <c r="U52" s="44">
        <f t="shared" si="26"/>
        <v>83.33333333333333</v>
      </c>
      <c r="V52" s="44">
        <f t="shared" si="26"/>
        <v>83.33333333333333</v>
      </c>
      <c r="W52" s="44">
        <f t="shared" si="26"/>
        <v>83.33333333333333</v>
      </c>
      <c r="X52" s="44">
        <f t="shared" si="26"/>
        <v>83.33333333333333</v>
      </c>
      <c r="Y52" s="45">
        <f t="shared" si="5"/>
        <v>1000.0000000000001</v>
      </c>
      <c r="Z52" s="75">
        <v>0</v>
      </c>
      <c r="AA52" s="97" t="s">
        <v>1090</v>
      </c>
      <c r="AB52" s="1552">
        <f t="shared" si="6"/>
        <v>166.66666666666666</v>
      </c>
      <c r="AC52" s="1335">
        <f t="shared" si="7"/>
        <v>1</v>
      </c>
      <c r="AD52" s="1552">
        <v>620</v>
      </c>
      <c r="AE52" s="1335">
        <f t="shared" si="15"/>
        <v>3.72</v>
      </c>
      <c r="AF52" s="1630">
        <f t="shared" si="8"/>
        <v>0.6199999999999999</v>
      </c>
      <c r="AG52" s="1335">
        <f t="shared" si="9"/>
        <v>0.6199999999999999</v>
      </c>
      <c r="AH52" s="1335"/>
      <c r="AI52" s="1334"/>
      <c r="AJ52" s="1335"/>
      <c r="AK52" s="1334" t="s">
        <v>1860</v>
      </c>
      <c r="AL52" s="1334"/>
      <c r="AM52" s="1692">
        <f t="shared" si="10"/>
        <v>333.3333333333333</v>
      </c>
      <c r="AN52" s="1699">
        <f t="shared" si="0"/>
        <v>1</v>
      </c>
      <c r="AO52" s="1697">
        <v>1174</v>
      </c>
      <c r="AP52" s="1699">
        <v>1</v>
      </c>
      <c r="AQ52" s="1699">
        <v>1</v>
      </c>
      <c r="AR52" s="1699">
        <f t="shared" si="1"/>
        <v>1</v>
      </c>
      <c r="AS52" s="1743">
        <v>0</v>
      </c>
      <c r="AT52" s="1699">
        <v>0</v>
      </c>
      <c r="AU52" s="1692" t="s">
        <v>2288</v>
      </c>
      <c r="AV52" s="1692"/>
      <c r="AW52" s="210">
        <f t="shared" si="12"/>
        <v>499.99999999999994</v>
      </c>
      <c r="AX52" s="1951">
        <f t="shared" si="2"/>
        <v>1</v>
      </c>
      <c r="AY52" s="1952">
        <v>1364</v>
      </c>
      <c r="AZ52" s="1951">
        <v>1</v>
      </c>
      <c r="BA52" s="1951">
        <v>1</v>
      </c>
      <c r="BB52" s="1951">
        <f t="shared" si="3"/>
        <v>1</v>
      </c>
      <c r="BC52" s="1954">
        <v>0</v>
      </c>
      <c r="BD52" s="1951">
        <v>0</v>
      </c>
      <c r="BE52" s="210" t="s">
        <v>2484</v>
      </c>
      <c r="BF52" s="2415"/>
      <c r="BG52" s="2417">
        <f t="shared" si="14"/>
        <v>666.6666666666666</v>
      </c>
      <c r="BH52" s="2491">
        <f t="shared" si="4"/>
        <v>1</v>
      </c>
      <c r="BI52" s="2416">
        <v>1263</v>
      </c>
      <c r="BJ52" s="2492">
        <v>1</v>
      </c>
      <c r="BK52" s="2416"/>
      <c r="BL52" s="2492">
        <v>1</v>
      </c>
      <c r="BM52" s="2416"/>
      <c r="BN52" s="2416"/>
      <c r="BO52" s="2416" t="s">
        <v>3008</v>
      </c>
      <c r="BP52" s="2421"/>
    </row>
    <row r="53" spans="1:68" s="211" customFormat="1" ht="39" thickBot="1">
      <c r="A53" s="2655"/>
      <c r="B53" s="2655"/>
      <c r="C53" s="2657"/>
      <c r="D53" s="107" t="s">
        <v>447</v>
      </c>
      <c r="E53" s="207" t="s">
        <v>448</v>
      </c>
      <c r="F53" s="110">
        <v>4</v>
      </c>
      <c r="G53" s="111" t="s">
        <v>449</v>
      </c>
      <c r="H53" s="112" t="s">
        <v>445</v>
      </c>
      <c r="I53" s="214">
        <f aca="true" t="shared" si="27" ref="I53:I57">10%/6</f>
        <v>0.016666666666666666</v>
      </c>
      <c r="J53" s="112" t="s">
        <v>450</v>
      </c>
      <c r="K53" s="113">
        <v>42005</v>
      </c>
      <c r="L53" s="43">
        <v>42369</v>
      </c>
      <c r="M53" s="44"/>
      <c r="N53" s="44"/>
      <c r="O53" s="44">
        <v>1</v>
      </c>
      <c r="P53" s="44"/>
      <c r="Q53" s="44">
        <v>1</v>
      </c>
      <c r="R53" s="44"/>
      <c r="S53" s="44">
        <v>1</v>
      </c>
      <c r="T53" s="44"/>
      <c r="U53" s="44">
        <v>1</v>
      </c>
      <c r="V53" s="44"/>
      <c r="W53" s="44"/>
      <c r="X53" s="44"/>
      <c r="Y53" s="45">
        <f t="shared" si="5"/>
        <v>4</v>
      </c>
      <c r="Z53" s="75">
        <v>0</v>
      </c>
      <c r="AA53" s="97" t="s">
        <v>1090</v>
      </c>
      <c r="AB53" s="1552">
        <f t="shared" si="6"/>
        <v>0</v>
      </c>
      <c r="AC53" s="1335">
        <f t="shared" si="7"/>
        <v>0</v>
      </c>
      <c r="AD53" s="1552">
        <v>0</v>
      </c>
      <c r="AE53" s="1335" t="s">
        <v>1090</v>
      </c>
      <c r="AF53" s="1630">
        <f t="shared" si="8"/>
        <v>0</v>
      </c>
      <c r="AG53" s="1335">
        <f t="shared" si="9"/>
        <v>0</v>
      </c>
      <c r="AH53" s="1335"/>
      <c r="AI53" s="1334"/>
      <c r="AJ53" s="1335"/>
      <c r="AK53" s="1334" t="s">
        <v>1861</v>
      </c>
      <c r="AL53" s="1345"/>
      <c r="AM53" s="1692">
        <f t="shared" si="10"/>
        <v>1</v>
      </c>
      <c r="AN53" s="1699">
        <f t="shared" si="0"/>
        <v>1</v>
      </c>
      <c r="AO53" s="1697">
        <v>1</v>
      </c>
      <c r="AP53" s="1699">
        <f t="shared" si="16"/>
        <v>1</v>
      </c>
      <c r="AQ53" s="1699">
        <f t="shared" si="11"/>
        <v>0.25</v>
      </c>
      <c r="AR53" s="1699">
        <f t="shared" si="1"/>
        <v>1</v>
      </c>
      <c r="AS53" s="1743">
        <v>0</v>
      </c>
      <c r="AT53" s="1699">
        <v>0</v>
      </c>
      <c r="AU53" s="1692" t="s">
        <v>2289</v>
      </c>
      <c r="AV53" s="1692"/>
      <c r="AW53" s="210">
        <f t="shared" si="12"/>
        <v>2</v>
      </c>
      <c r="AX53" s="1951">
        <f t="shared" si="2"/>
        <v>1</v>
      </c>
      <c r="AY53" s="1952">
        <v>1</v>
      </c>
      <c r="AZ53" s="1951">
        <f t="shared" si="17"/>
        <v>0.5</v>
      </c>
      <c r="BA53" s="1951">
        <f t="shared" si="13"/>
        <v>0.25</v>
      </c>
      <c r="BB53" s="1951">
        <v>0.25</v>
      </c>
      <c r="BC53" s="1954">
        <v>0</v>
      </c>
      <c r="BD53" s="1951">
        <v>0</v>
      </c>
      <c r="BE53" s="210"/>
      <c r="BF53" s="2415"/>
      <c r="BG53" s="2417">
        <f t="shared" si="14"/>
        <v>3</v>
      </c>
      <c r="BH53" s="2491">
        <f t="shared" si="4"/>
        <v>1</v>
      </c>
      <c r="BI53" s="2416">
        <v>3</v>
      </c>
      <c r="BJ53" s="2492">
        <v>1</v>
      </c>
      <c r="BK53" s="2416"/>
      <c r="BL53" s="2492">
        <f>BI53/Y53</f>
        <v>0.75</v>
      </c>
      <c r="BM53" s="2416"/>
      <c r="BN53" s="2416"/>
      <c r="BO53" s="2416" t="s">
        <v>3009</v>
      </c>
      <c r="BP53" s="2421"/>
    </row>
    <row r="54" spans="1:68" s="211" customFormat="1" ht="66.75" thickBot="1">
      <c r="A54" s="2655"/>
      <c r="B54" s="2655"/>
      <c r="C54" s="2657"/>
      <c r="D54" s="107" t="s">
        <v>451</v>
      </c>
      <c r="E54" s="207" t="s">
        <v>448</v>
      </c>
      <c r="F54" s="110">
        <v>5</v>
      </c>
      <c r="G54" s="111" t="s">
        <v>449</v>
      </c>
      <c r="H54" s="112" t="s">
        <v>445</v>
      </c>
      <c r="I54" s="214">
        <f t="shared" si="27"/>
        <v>0.016666666666666666</v>
      </c>
      <c r="J54" s="112" t="s">
        <v>452</v>
      </c>
      <c r="K54" s="113">
        <v>42005</v>
      </c>
      <c r="L54" s="43">
        <v>42369</v>
      </c>
      <c r="M54" s="44"/>
      <c r="N54" s="44">
        <v>1</v>
      </c>
      <c r="O54" s="44"/>
      <c r="P54" s="44">
        <v>1</v>
      </c>
      <c r="Q54" s="44"/>
      <c r="R54" s="44">
        <v>1</v>
      </c>
      <c r="S54" s="44"/>
      <c r="T54" s="44">
        <v>1</v>
      </c>
      <c r="U54" s="44"/>
      <c r="V54" s="44">
        <v>1</v>
      </c>
      <c r="W54" s="44"/>
      <c r="X54" s="44"/>
      <c r="Y54" s="45">
        <f t="shared" si="5"/>
        <v>5</v>
      </c>
      <c r="Z54" s="75">
        <v>0</v>
      </c>
      <c r="AA54" s="97" t="s">
        <v>1090</v>
      </c>
      <c r="AB54" s="1552">
        <f t="shared" si="6"/>
        <v>1</v>
      </c>
      <c r="AC54" s="1335">
        <f t="shared" si="7"/>
        <v>1</v>
      </c>
      <c r="AD54" s="1552">
        <v>2</v>
      </c>
      <c r="AE54" s="1335">
        <f t="shared" si="15"/>
        <v>2</v>
      </c>
      <c r="AF54" s="1630">
        <f t="shared" si="8"/>
        <v>0.4</v>
      </c>
      <c r="AG54" s="1335">
        <f t="shared" si="9"/>
        <v>0.4</v>
      </c>
      <c r="AH54" s="1335"/>
      <c r="AI54" s="1334"/>
      <c r="AJ54" s="1335"/>
      <c r="AK54" s="1334" t="s">
        <v>1862</v>
      </c>
      <c r="AL54" s="1334"/>
      <c r="AM54" s="1692">
        <f t="shared" si="10"/>
        <v>2</v>
      </c>
      <c r="AN54" s="1699">
        <f t="shared" si="0"/>
        <v>1</v>
      </c>
      <c r="AO54" s="1697">
        <v>2</v>
      </c>
      <c r="AP54" s="1699">
        <f t="shared" si="16"/>
        <v>1</v>
      </c>
      <c r="AQ54" s="1699">
        <f t="shared" si="11"/>
        <v>0.4</v>
      </c>
      <c r="AR54" s="1699">
        <f t="shared" si="1"/>
        <v>1</v>
      </c>
      <c r="AS54" s="1743">
        <v>0</v>
      </c>
      <c r="AT54" s="1699">
        <v>0</v>
      </c>
      <c r="AU54" s="1692" t="s">
        <v>2290</v>
      </c>
      <c r="AV54" s="1692"/>
      <c r="AW54" s="210">
        <f t="shared" si="12"/>
        <v>3</v>
      </c>
      <c r="AX54" s="1951">
        <f t="shared" si="2"/>
        <v>1</v>
      </c>
      <c r="AY54" s="1952">
        <v>6</v>
      </c>
      <c r="AZ54" s="1951">
        <v>1</v>
      </c>
      <c r="BA54" s="1951">
        <v>1</v>
      </c>
      <c r="BB54" s="1951">
        <f t="shared" si="3"/>
        <v>1</v>
      </c>
      <c r="BC54" s="1954">
        <v>0</v>
      </c>
      <c r="BD54" s="1951">
        <v>0</v>
      </c>
      <c r="BE54" s="210" t="s">
        <v>2476</v>
      </c>
      <c r="BF54" s="2415"/>
      <c r="BG54" s="2417">
        <f t="shared" si="14"/>
        <v>4</v>
      </c>
      <c r="BH54" s="2491">
        <f t="shared" si="4"/>
        <v>1</v>
      </c>
      <c r="BI54" s="2416">
        <v>4</v>
      </c>
      <c r="BJ54" s="2492">
        <v>1</v>
      </c>
      <c r="BK54" s="2416"/>
      <c r="BL54" s="2492">
        <f>BI54/Y54</f>
        <v>0.8</v>
      </c>
      <c r="BM54" s="2416"/>
      <c r="BN54" s="2416"/>
      <c r="BO54" s="2416" t="s">
        <v>3010</v>
      </c>
      <c r="BP54" s="2421"/>
    </row>
    <row r="55" spans="1:68" s="211" customFormat="1" ht="39" thickBot="1">
      <c r="A55" s="2655"/>
      <c r="B55" s="2655"/>
      <c r="C55" s="2657"/>
      <c r="D55" s="107" t="s">
        <v>453</v>
      </c>
      <c r="E55" s="207" t="s">
        <v>454</v>
      </c>
      <c r="F55" s="110">
        <v>1</v>
      </c>
      <c r="G55" s="111" t="s">
        <v>397</v>
      </c>
      <c r="H55" s="112" t="s">
        <v>445</v>
      </c>
      <c r="I55" s="214">
        <f t="shared" si="27"/>
        <v>0.016666666666666666</v>
      </c>
      <c r="J55" s="112" t="s">
        <v>72</v>
      </c>
      <c r="K55" s="113">
        <v>42005</v>
      </c>
      <c r="L55" s="43">
        <v>42369</v>
      </c>
      <c r="M55" s="44"/>
      <c r="N55" s="44"/>
      <c r="O55" s="44"/>
      <c r="P55" s="44"/>
      <c r="Q55" s="44">
        <v>1</v>
      </c>
      <c r="R55" s="44"/>
      <c r="S55" s="44"/>
      <c r="T55" s="44"/>
      <c r="U55" s="44"/>
      <c r="V55" s="44"/>
      <c r="W55" s="44"/>
      <c r="X55" s="44"/>
      <c r="Y55" s="45">
        <f t="shared" si="5"/>
        <v>1</v>
      </c>
      <c r="Z55" s="75">
        <v>0</v>
      </c>
      <c r="AA55" s="97" t="s">
        <v>1090</v>
      </c>
      <c r="AB55" s="1552">
        <f t="shared" si="6"/>
        <v>0</v>
      </c>
      <c r="AC55" s="1335">
        <f t="shared" si="7"/>
        <v>0</v>
      </c>
      <c r="AD55" s="1552">
        <v>0</v>
      </c>
      <c r="AE55" s="1335" t="s">
        <v>1090</v>
      </c>
      <c r="AF55" s="1630">
        <f t="shared" si="8"/>
        <v>0</v>
      </c>
      <c r="AG55" s="1335">
        <f t="shared" si="9"/>
        <v>0</v>
      </c>
      <c r="AH55" s="1335"/>
      <c r="AI55" s="1334"/>
      <c r="AJ55" s="1335"/>
      <c r="AK55" s="1334"/>
      <c r="AL55" s="1334"/>
      <c r="AM55" s="1692">
        <f t="shared" si="10"/>
        <v>0</v>
      </c>
      <c r="AN55" s="1699">
        <f t="shared" si="0"/>
        <v>0</v>
      </c>
      <c r="AO55" s="1697">
        <v>0</v>
      </c>
      <c r="AP55" s="1699" t="s">
        <v>1090</v>
      </c>
      <c r="AQ55" s="1699">
        <f t="shared" si="11"/>
        <v>0</v>
      </c>
      <c r="AR55" s="1699">
        <v>0</v>
      </c>
      <c r="AS55" s="1743">
        <v>0</v>
      </c>
      <c r="AT55" s="1699">
        <v>0</v>
      </c>
      <c r="AU55" s="1692"/>
      <c r="AV55" s="1692"/>
      <c r="AW55" s="210">
        <f t="shared" si="12"/>
        <v>1</v>
      </c>
      <c r="AX55" s="1951">
        <f t="shared" si="2"/>
        <v>1</v>
      </c>
      <c r="AY55" s="1952">
        <v>0</v>
      </c>
      <c r="AZ55" s="1951">
        <f t="shared" si="17"/>
        <v>0</v>
      </c>
      <c r="BA55" s="1951">
        <f t="shared" si="13"/>
        <v>0</v>
      </c>
      <c r="BB55" s="1951">
        <f t="shared" si="3"/>
        <v>0</v>
      </c>
      <c r="BC55" s="1954">
        <v>0</v>
      </c>
      <c r="BD55" s="1951">
        <v>0</v>
      </c>
      <c r="BE55" s="210"/>
      <c r="BF55" s="2415"/>
      <c r="BG55" s="2417">
        <f t="shared" si="14"/>
        <v>1</v>
      </c>
      <c r="BH55" s="2491">
        <f t="shared" si="4"/>
        <v>1</v>
      </c>
      <c r="BI55" s="2416">
        <v>1</v>
      </c>
      <c r="BJ55" s="2492">
        <v>1</v>
      </c>
      <c r="BK55" s="2416"/>
      <c r="BL55" s="2492">
        <v>1</v>
      </c>
      <c r="BM55" s="2416"/>
      <c r="BN55" s="2416"/>
      <c r="BO55" s="2416" t="s">
        <v>3011</v>
      </c>
      <c r="BP55" s="2421"/>
    </row>
    <row r="56" spans="1:68" s="211" customFormat="1" ht="42" customHeight="1" thickBot="1">
      <c r="A56" s="2655"/>
      <c r="B56" s="2655"/>
      <c r="C56" s="2657"/>
      <c r="D56" s="107" t="s">
        <v>455</v>
      </c>
      <c r="E56" s="207" t="s">
        <v>456</v>
      </c>
      <c r="F56" s="110">
        <v>3</v>
      </c>
      <c r="G56" s="111" t="s">
        <v>457</v>
      </c>
      <c r="H56" s="112" t="s">
        <v>458</v>
      </c>
      <c r="I56" s="214">
        <f t="shared" si="27"/>
        <v>0.016666666666666666</v>
      </c>
      <c r="J56" s="112" t="s">
        <v>459</v>
      </c>
      <c r="K56" s="113">
        <v>42005</v>
      </c>
      <c r="L56" s="43">
        <v>42369</v>
      </c>
      <c r="M56" s="44"/>
      <c r="N56" s="44"/>
      <c r="O56" s="44">
        <v>1</v>
      </c>
      <c r="P56" s="44"/>
      <c r="Q56" s="44"/>
      <c r="R56" s="44">
        <v>1</v>
      </c>
      <c r="S56" s="44"/>
      <c r="T56" s="44"/>
      <c r="U56" s="44">
        <v>1</v>
      </c>
      <c r="V56" s="44"/>
      <c r="W56" s="44"/>
      <c r="X56" s="44"/>
      <c r="Y56" s="45">
        <f t="shared" si="5"/>
        <v>3</v>
      </c>
      <c r="Z56" s="75">
        <v>0</v>
      </c>
      <c r="AA56" s="97" t="s">
        <v>1090</v>
      </c>
      <c r="AB56" s="1552">
        <f t="shared" si="6"/>
        <v>0</v>
      </c>
      <c r="AC56" s="1335">
        <f t="shared" si="7"/>
        <v>0</v>
      </c>
      <c r="AD56" s="1552">
        <v>0</v>
      </c>
      <c r="AE56" s="1335" t="s">
        <v>1090</v>
      </c>
      <c r="AF56" s="1630">
        <f t="shared" si="8"/>
        <v>0</v>
      </c>
      <c r="AG56" s="1335">
        <f t="shared" si="9"/>
        <v>0</v>
      </c>
      <c r="AH56" s="1335"/>
      <c r="AI56" s="1334"/>
      <c r="AJ56" s="1335"/>
      <c r="AK56" s="1334" t="s">
        <v>1863</v>
      </c>
      <c r="AL56" s="1334" t="s">
        <v>1864</v>
      </c>
      <c r="AM56" s="1692">
        <f t="shared" si="10"/>
        <v>1</v>
      </c>
      <c r="AN56" s="1699">
        <f t="shared" si="0"/>
        <v>1</v>
      </c>
      <c r="AO56" s="1697">
        <v>0</v>
      </c>
      <c r="AP56" s="1699">
        <f t="shared" si="16"/>
        <v>0</v>
      </c>
      <c r="AQ56" s="1699">
        <f t="shared" si="11"/>
        <v>0</v>
      </c>
      <c r="AR56" s="1699">
        <f t="shared" si="1"/>
        <v>0</v>
      </c>
      <c r="AS56" s="1743">
        <v>0</v>
      </c>
      <c r="AT56" s="1699">
        <v>0</v>
      </c>
      <c r="AU56" s="1692"/>
      <c r="AV56" s="1692"/>
      <c r="AW56" s="210">
        <f t="shared" si="12"/>
        <v>2</v>
      </c>
      <c r="AX56" s="1951">
        <f t="shared" si="2"/>
        <v>1</v>
      </c>
      <c r="AY56" s="1952">
        <v>1</v>
      </c>
      <c r="AZ56" s="1951">
        <f t="shared" si="17"/>
        <v>0.5</v>
      </c>
      <c r="BA56" s="1951">
        <f t="shared" si="13"/>
        <v>0.3333333333333333</v>
      </c>
      <c r="BB56" s="1951">
        <v>0.33</v>
      </c>
      <c r="BC56" s="1954">
        <v>0</v>
      </c>
      <c r="BD56" s="1951">
        <v>0</v>
      </c>
      <c r="BE56" s="210" t="s">
        <v>2477</v>
      </c>
      <c r="BF56" s="2415"/>
      <c r="BG56" s="2417">
        <f t="shared" si="14"/>
        <v>2</v>
      </c>
      <c r="BH56" s="2491">
        <f t="shared" si="4"/>
        <v>1</v>
      </c>
      <c r="BI56" s="2416">
        <v>2</v>
      </c>
      <c r="BJ56" s="2492">
        <v>1</v>
      </c>
      <c r="BK56" s="2416"/>
      <c r="BL56" s="2492">
        <f>BI56/Y56</f>
        <v>0.6666666666666666</v>
      </c>
      <c r="BM56" s="2416"/>
      <c r="BN56" s="2416"/>
      <c r="BO56" s="2416" t="s">
        <v>3012</v>
      </c>
      <c r="BP56" s="2421"/>
    </row>
    <row r="57" spans="1:68" s="211" customFormat="1" ht="36.75" customHeight="1" thickBot="1">
      <c r="A57" s="2655"/>
      <c r="B57" s="2655"/>
      <c r="C57" s="2657"/>
      <c r="D57" s="107" t="s">
        <v>460</v>
      </c>
      <c r="E57" s="207" t="s">
        <v>414</v>
      </c>
      <c r="F57" s="110">
        <v>1</v>
      </c>
      <c r="G57" s="111" t="s">
        <v>461</v>
      </c>
      <c r="H57" s="112" t="s">
        <v>445</v>
      </c>
      <c r="I57" s="214">
        <f t="shared" si="27"/>
        <v>0.016666666666666666</v>
      </c>
      <c r="J57" s="112" t="s">
        <v>72</v>
      </c>
      <c r="K57" s="113">
        <v>42005</v>
      </c>
      <c r="L57" s="43">
        <v>42369</v>
      </c>
      <c r="M57" s="44"/>
      <c r="N57" s="44"/>
      <c r="O57" s="44"/>
      <c r="P57" s="44"/>
      <c r="Q57" s="44"/>
      <c r="R57" s="44"/>
      <c r="S57" s="44"/>
      <c r="T57" s="44"/>
      <c r="U57" s="44"/>
      <c r="V57" s="44">
        <v>1</v>
      </c>
      <c r="W57" s="44"/>
      <c r="X57" s="44"/>
      <c r="Y57" s="45">
        <f t="shared" si="5"/>
        <v>1</v>
      </c>
      <c r="Z57" s="75">
        <v>0</v>
      </c>
      <c r="AA57" s="97" t="s">
        <v>1090</v>
      </c>
      <c r="AB57" s="1552">
        <f t="shared" si="6"/>
        <v>0</v>
      </c>
      <c r="AC57" s="1335">
        <f t="shared" si="7"/>
        <v>0</v>
      </c>
      <c r="AD57" s="1552">
        <v>0</v>
      </c>
      <c r="AE57" s="1335" t="s">
        <v>1090</v>
      </c>
      <c r="AF57" s="1630">
        <f t="shared" si="8"/>
        <v>0</v>
      </c>
      <c r="AG57" s="1335">
        <f t="shared" si="9"/>
        <v>0</v>
      </c>
      <c r="AH57" s="1335"/>
      <c r="AI57" s="1334"/>
      <c r="AJ57" s="1335"/>
      <c r="AK57" s="1334"/>
      <c r="AL57" s="1334"/>
      <c r="AM57" s="1692">
        <f t="shared" si="10"/>
        <v>0</v>
      </c>
      <c r="AN57" s="1699">
        <f t="shared" si="0"/>
        <v>0</v>
      </c>
      <c r="AO57" s="1697">
        <v>0</v>
      </c>
      <c r="AP57" s="1699" t="s">
        <v>1090</v>
      </c>
      <c r="AQ57" s="1699">
        <f t="shared" si="11"/>
        <v>0</v>
      </c>
      <c r="AR57" s="1699">
        <v>0</v>
      </c>
      <c r="AS57" s="1743">
        <v>0</v>
      </c>
      <c r="AT57" s="1699">
        <v>0</v>
      </c>
      <c r="AU57" s="1692"/>
      <c r="AV57" s="1692"/>
      <c r="AW57" s="210">
        <f t="shared" si="12"/>
        <v>0</v>
      </c>
      <c r="AX57" s="1951">
        <f t="shared" si="2"/>
        <v>0</v>
      </c>
      <c r="AY57" s="1952">
        <v>0</v>
      </c>
      <c r="AZ57" s="1951" t="s">
        <v>1090</v>
      </c>
      <c r="BA57" s="1951">
        <f t="shared" si="13"/>
        <v>0</v>
      </c>
      <c r="BB57" s="1951">
        <v>0</v>
      </c>
      <c r="BC57" s="1954">
        <v>0</v>
      </c>
      <c r="BD57" s="1951">
        <v>0</v>
      </c>
      <c r="BE57" s="210"/>
      <c r="BF57" s="2415"/>
      <c r="BG57" s="2417">
        <f t="shared" si="14"/>
        <v>0</v>
      </c>
      <c r="BH57" s="2491">
        <f t="shared" si="4"/>
        <v>0</v>
      </c>
      <c r="BI57" s="2416">
        <v>0</v>
      </c>
      <c r="BJ57" s="2492">
        <v>0</v>
      </c>
      <c r="BK57" s="2416"/>
      <c r="BL57" s="2492">
        <v>0</v>
      </c>
      <c r="BM57" s="2416"/>
      <c r="BN57" s="2416"/>
      <c r="BO57" s="2416"/>
      <c r="BP57" s="2421"/>
    </row>
    <row r="58" spans="1:68" s="211" customFormat="1" ht="42" customHeight="1" thickBot="1">
      <c r="A58" s="2655"/>
      <c r="B58" s="2655"/>
      <c r="C58" s="36" t="s">
        <v>462</v>
      </c>
      <c r="D58" s="107" t="s">
        <v>463</v>
      </c>
      <c r="E58" s="207" t="s">
        <v>72</v>
      </c>
      <c r="F58" s="110">
        <v>1</v>
      </c>
      <c r="G58" s="111" t="s">
        <v>296</v>
      </c>
      <c r="H58" s="112" t="s">
        <v>464</v>
      </c>
      <c r="I58" s="214">
        <v>0.1</v>
      </c>
      <c r="J58" s="112" t="s">
        <v>465</v>
      </c>
      <c r="K58" s="113">
        <v>42007</v>
      </c>
      <c r="L58" s="43">
        <v>42369</v>
      </c>
      <c r="M58" s="44"/>
      <c r="N58" s="44"/>
      <c r="O58" s="44"/>
      <c r="P58" s="44"/>
      <c r="Q58" s="44"/>
      <c r="R58" s="44"/>
      <c r="S58" s="44"/>
      <c r="T58" s="44"/>
      <c r="U58" s="44">
        <v>1</v>
      </c>
      <c r="V58" s="44"/>
      <c r="W58" s="44"/>
      <c r="X58" s="44"/>
      <c r="Y58" s="45">
        <f t="shared" si="5"/>
        <v>1</v>
      </c>
      <c r="Z58" s="75">
        <v>30000000</v>
      </c>
      <c r="AA58" s="97" t="s">
        <v>1090</v>
      </c>
      <c r="AB58" s="1552">
        <f t="shared" si="6"/>
        <v>0</v>
      </c>
      <c r="AC58" s="1335">
        <f t="shared" si="7"/>
        <v>0</v>
      </c>
      <c r="AD58" s="1552">
        <v>0</v>
      </c>
      <c r="AE58" s="1335" t="s">
        <v>1090</v>
      </c>
      <c r="AF58" s="1630">
        <f t="shared" si="8"/>
        <v>0</v>
      </c>
      <c r="AG58" s="1335">
        <f t="shared" si="9"/>
        <v>0</v>
      </c>
      <c r="AH58" s="1335"/>
      <c r="AI58" s="1334"/>
      <c r="AJ58" s="1334"/>
      <c r="AK58" s="1334" t="s">
        <v>1865</v>
      </c>
      <c r="AL58" s="1334"/>
      <c r="AM58" s="1692">
        <f t="shared" si="10"/>
        <v>0</v>
      </c>
      <c r="AN58" s="1699">
        <f t="shared" si="0"/>
        <v>0</v>
      </c>
      <c r="AO58" s="1697">
        <v>0</v>
      </c>
      <c r="AP58" s="1699" t="s">
        <v>1090</v>
      </c>
      <c r="AQ58" s="1699">
        <f t="shared" si="11"/>
        <v>0</v>
      </c>
      <c r="AR58" s="1699">
        <v>0</v>
      </c>
      <c r="AS58" s="1743">
        <v>0</v>
      </c>
      <c r="AT58" s="1699">
        <v>0</v>
      </c>
      <c r="AU58" s="1692"/>
      <c r="AV58" s="1692"/>
      <c r="AW58" s="210">
        <f t="shared" si="12"/>
        <v>0</v>
      </c>
      <c r="AX58" s="1951">
        <f t="shared" si="2"/>
        <v>0</v>
      </c>
      <c r="AY58" s="1952">
        <v>0</v>
      </c>
      <c r="AZ58" s="1953" t="s">
        <v>1090</v>
      </c>
      <c r="BA58" s="1951">
        <f t="shared" si="13"/>
        <v>0</v>
      </c>
      <c r="BB58" s="1951">
        <v>0</v>
      </c>
      <c r="BC58" s="1954">
        <v>0</v>
      </c>
      <c r="BD58" s="1951">
        <v>0</v>
      </c>
      <c r="BE58" s="210"/>
      <c r="BF58" s="2415"/>
      <c r="BG58" s="2417">
        <f t="shared" si="14"/>
        <v>0</v>
      </c>
      <c r="BH58" s="2491">
        <f t="shared" si="4"/>
        <v>0</v>
      </c>
      <c r="BI58" s="2416">
        <v>0</v>
      </c>
      <c r="BJ58" s="2492">
        <v>0</v>
      </c>
      <c r="BK58" s="2416"/>
      <c r="BL58" s="2492">
        <v>0</v>
      </c>
      <c r="BM58" s="2416"/>
      <c r="BN58" s="2416"/>
      <c r="BO58" s="2416"/>
      <c r="BP58" s="2421"/>
    </row>
    <row r="59" spans="1:68" s="211" customFormat="1" ht="123" customHeight="1" thickBot="1">
      <c r="A59" s="2655"/>
      <c r="B59" s="2655"/>
      <c r="C59" s="2656" t="s">
        <v>482</v>
      </c>
      <c r="D59" s="107" t="s">
        <v>483</v>
      </c>
      <c r="E59" s="207" t="s">
        <v>484</v>
      </c>
      <c r="F59" s="110">
        <v>1</v>
      </c>
      <c r="G59" s="111" t="s">
        <v>485</v>
      </c>
      <c r="H59" s="112" t="s">
        <v>486</v>
      </c>
      <c r="I59" s="214">
        <f>10%/6</f>
        <v>0.016666666666666666</v>
      </c>
      <c r="J59" s="112" t="s">
        <v>484</v>
      </c>
      <c r="K59" s="113">
        <v>42036</v>
      </c>
      <c r="L59" s="43">
        <v>42246</v>
      </c>
      <c r="M59" s="44"/>
      <c r="N59" s="44"/>
      <c r="O59" s="44"/>
      <c r="P59" s="44"/>
      <c r="Q59" s="44"/>
      <c r="R59" s="44"/>
      <c r="S59" s="44">
        <v>1</v>
      </c>
      <c r="T59" s="44"/>
      <c r="U59" s="44"/>
      <c r="V59" s="44"/>
      <c r="W59" s="44"/>
      <c r="X59" s="44"/>
      <c r="Y59" s="45">
        <f t="shared" si="5"/>
        <v>1</v>
      </c>
      <c r="Z59" s="75" t="s">
        <v>487</v>
      </c>
      <c r="AA59" s="97" t="s">
        <v>1090</v>
      </c>
      <c r="AB59" s="1552">
        <f t="shared" si="6"/>
        <v>0</v>
      </c>
      <c r="AC59" s="1335">
        <f t="shared" si="7"/>
        <v>0</v>
      </c>
      <c r="AD59" s="1552">
        <v>0</v>
      </c>
      <c r="AE59" s="1335" t="s">
        <v>1090</v>
      </c>
      <c r="AF59" s="1630">
        <f t="shared" si="8"/>
        <v>0</v>
      </c>
      <c r="AG59" s="1335">
        <f t="shared" si="9"/>
        <v>0</v>
      </c>
      <c r="AH59" s="1335"/>
      <c r="AI59" s="1334"/>
      <c r="AJ59" s="1334"/>
      <c r="AK59" s="1334"/>
      <c r="AL59" s="1334"/>
      <c r="AM59" s="1692">
        <f t="shared" si="10"/>
        <v>0</v>
      </c>
      <c r="AN59" s="1699">
        <f t="shared" si="0"/>
        <v>0</v>
      </c>
      <c r="AO59" s="1697">
        <v>0</v>
      </c>
      <c r="AP59" s="1699" t="s">
        <v>1090</v>
      </c>
      <c r="AQ59" s="1699">
        <f t="shared" si="11"/>
        <v>0</v>
      </c>
      <c r="AR59" s="1699">
        <v>0</v>
      </c>
      <c r="AS59" s="1743">
        <v>0</v>
      </c>
      <c r="AT59" s="1699">
        <v>0</v>
      </c>
      <c r="AU59" s="1692"/>
      <c r="AV59" s="1692"/>
      <c r="AW59" s="210">
        <f aca="true" t="shared" si="28" ref="AW59:AW74">SUM(M59:R59)</f>
        <v>0</v>
      </c>
      <c r="AX59" s="1951">
        <f aca="true" t="shared" si="29" ref="AX59:AX74">IF(AW59=0,0%,100%)</f>
        <v>0</v>
      </c>
      <c r="AY59" s="1952">
        <v>0</v>
      </c>
      <c r="AZ59" s="1951" t="s">
        <v>1090</v>
      </c>
      <c r="BA59" s="1951">
        <f>AY59/Y59</f>
        <v>0</v>
      </c>
      <c r="BB59" s="1951">
        <v>0</v>
      </c>
      <c r="BC59" s="1954">
        <v>0</v>
      </c>
      <c r="BD59" s="1951">
        <v>0</v>
      </c>
      <c r="BE59" s="210"/>
      <c r="BF59" s="2415"/>
      <c r="BG59" s="2417">
        <f t="shared" si="14"/>
        <v>1</v>
      </c>
      <c r="BH59" s="2491">
        <f t="shared" si="4"/>
        <v>1</v>
      </c>
      <c r="BI59" s="2416">
        <v>1</v>
      </c>
      <c r="BJ59" s="2492">
        <v>1</v>
      </c>
      <c r="BK59" s="2416"/>
      <c r="BL59" s="2492">
        <v>1</v>
      </c>
      <c r="BM59" s="2416"/>
      <c r="BN59" s="2416"/>
      <c r="BO59" s="2416" t="s">
        <v>3013</v>
      </c>
      <c r="BP59" s="2421"/>
    </row>
    <row r="60" spans="1:68" s="211" customFormat="1" ht="64.5" customHeight="1" thickBot="1">
      <c r="A60" s="2655"/>
      <c r="B60" s="2655"/>
      <c r="C60" s="2657"/>
      <c r="D60" s="107" t="s">
        <v>488</v>
      </c>
      <c r="E60" s="207" t="s">
        <v>420</v>
      </c>
      <c r="F60" s="110">
        <v>1</v>
      </c>
      <c r="G60" s="111" t="s">
        <v>397</v>
      </c>
      <c r="H60" s="112" t="s">
        <v>489</v>
      </c>
      <c r="I60" s="214">
        <f aca="true" t="shared" si="30" ref="I60:I64">10%/6</f>
        <v>0.016666666666666666</v>
      </c>
      <c r="J60" s="112" t="s">
        <v>340</v>
      </c>
      <c r="K60" s="113">
        <v>42038</v>
      </c>
      <c r="L60" s="43">
        <v>42161</v>
      </c>
      <c r="M60" s="44"/>
      <c r="N60" s="44"/>
      <c r="O60" s="44">
        <v>1</v>
      </c>
      <c r="P60" s="44"/>
      <c r="Q60" s="44"/>
      <c r="R60" s="44"/>
      <c r="S60" s="44"/>
      <c r="T60" s="44"/>
      <c r="U60" s="44"/>
      <c r="V60" s="44"/>
      <c r="W60" s="44"/>
      <c r="X60" s="44"/>
      <c r="Y60" s="45">
        <f t="shared" si="5"/>
        <v>1</v>
      </c>
      <c r="Z60" s="75">
        <v>0</v>
      </c>
      <c r="AA60" s="97" t="s">
        <v>1090</v>
      </c>
      <c r="AB60" s="1552">
        <f t="shared" si="6"/>
        <v>0</v>
      </c>
      <c r="AC60" s="1335">
        <f t="shared" si="7"/>
        <v>0</v>
      </c>
      <c r="AD60" s="1552">
        <v>0</v>
      </c>
      <c r="AE60" s="1335" t="s">
        <v>1090</v>
      </c>
      <c r="AF60" s="1630">
        <f t="shared" si="8"/>
        <v>0</v>
      </c>
      <c r="AG60" s="1335">
        <f t="shared" si="9"/>
        <v>0</v>
      </c>
      <c r="AH60" s="1335"/>
      <c r="AI60" s="1334"/>
      <c r="AJ60" s="1334"/>
      <c r="AK60" s="1334"/>
      <c r="AL60" s="1334"/>
      <c r="AM60" s="1692">
        <f t="shared" si="10"/>
        <v>1</v>
      </c>
      <c r="AN60" s="1699">
        <f t="shared" si="0"/>
        <v>1</v>
      </c>
      <c r="AO60" s="1697">
        <v>0</v>
      </c>
      <c r="AP60" s="1699">
        <f t="shared" si="16"/>
        <v>0</v>
      </c>
      <c r="AQ60" s="1699">
        <f t="shared" si="11"/>
        <v>0</v>
      </c>
      <c r="AR60" s="1699">
        <f t="shared" si="1"/>
        <v>0</v>
      </c>
      <c r="AS60" s="1743">
        <v>0</v>
      </c>
      <c r="AT60" s="1699">
        <v>0</v>
      </c>
      <c r="AU60" s="1692"/>
      <c r="AV60" s="1692" t="s">
        <v>2293</v>
      </c>
      <c r="AW60" s="210">
        <f t="shared" si="28"/>
        <v>1</v>
      </c>
      <c r="AX60" s="1951">
        <f t="shared" si="29"/>
        <v>1</v>
      </c>
      <c r="AY60" s="1952">
        <v>0</v>
      </c>
      <c r="AZ60" s="1951">
        <f aca="true" t="shared" si="31" ref="AZ60:AZ63">AY60/AW60</f>
        <v>0</v>
      </c>
      <c r="BA60" s="1951">
        <f aca="true" t="shared" si="32" ref="BA60:BA63">AY60/Y60</f>
        <v>0</v>
      </c>
      <c r="BB60" s="1951">
        <v>1</v>
      </c>
      <c r="BC60" s="1954">
        <v>0</v>
      </c>
      <c r="BD60" s="1951">
        <v>0</v>
      </c>
      <c r="BE60" s="210"/>
      <c r="BF60" s="2415"/>
      <c r="BG60" s="2417">
        <f t="shared" si="14"/>
        <v>1</v>
      </c>
      <c r="BH60" s="2491">
        <f t="shared" si="4"/>
        <v>1</v>
      </c>
      <c r="BI60" s="2416">
        <v>0</v>
      </c>
      <c r="BJ60" s="2492">
        <v>0</v>
      </c>
      <c r="BK60" s="2416"/>
      <c r="BL60" s="2492">
        <v>0</v>
      </c>
      <c r="BM60" s="2416"/>
      <c r="BN60" s="2416"/>
      <c r="BO60" s="2416"/>
      <c r="BP60" s="2421"/>
    </row>
    <row r="61" spans="1:68" s="211" customFormat="1" ht="153.75" customHeight="1" thickBot="1">
      <c r="A61" s="2655"/>
      <c r="B61" s="2655"/>
      <c r="C61" s="2657"/>
      <c r="D61" s="107" t="s">
        <v>490</v>
      </c>
      <c r="E61" s="207" t="s">
        <v>491</v>
      </c>
      <c r="F61" s="110">
        <v>10</v>
      </c>
      <c r="G61" s="111" t="s">
        <v>361</v>
      </c>
      <c r="H61" s="112" t="s">
        <v>489</v>
      </c>
      <c r="I61" s="214">
        <f t="shared" si="30"/>
        <v>0.016666666666666666</v>
      </c>
      <c r="J61" s="112" t="s">
        <v>492</v>
      </c>
      <c r="K61" s="113">
        <v>42037</v>
      </c>
      <c r="L61" s="43">
        <v>42369</v>
      </c>
      <c r="M61" s="44"/>
      <c r="N61" s="44"/>
      <c r="O61" s="44">
        <v>1</v>
      </c>
      <c r="P61" s="44">
        <v>1</v>
      </c>
      <c r="Q61" s="44">
        <v>1</v>
      </c>
      <c r="R61" s="44">
        <v>1</v>
      </c>
      <c r="S61" s="44">
        <v>1</v>
      </c>
      <c r="T61" s="44">
        <v>1</v>
      </c>
      <c r="U61" s="44">
        <v>1</v>
      </c>
      <c r="V61" s="44">
        <v>1</v>
      </c>
      <c r="W61" s="44">
        <v>1</v>
      </c>
      <c r="X61" s="44">
        <v>1</v>
      </c>
      <c r="Y61" s="45">
        <f t="shared" si="5"/>
        <v>10</v>
      </c>
      <c r="Z61" s="75">
        <v>15000000</v>
      </c>
      <c r="AA61" s="97" t="s">
        <v>1090</v>
      </c>
      <c r="AB61" s="1552">
        <f t="shared" si="6"/>
        <v>0</v>
      </c>
      <c r="AC61" s="1335">
        <f t="shared" si="7"/>
        <v>0</v>
      </c>
      <c r="AD61" s="1552">
        <v>0</v>
      </c>
      <c r="AE61" s="1335" t="s">
        <v>1090</v>
      </c>
      <c r="AF61" s="1630">
        <f t="shared" si="8"/>
        <v>0</v>
      </c>
      <c r="AG61" s="1335">
        <f t="shared" si="9"/>
        <v>0</v>
      </c>
      <c r="AH61" s="1335"/>
      <c r="AI61" s="1334"/>
      <c r="AJ61" s="1334"/>
      <c r="AK61" s="1334"/>
      <c r="AL61" s="1334"/>
      <c r="AM61" s="1692">
        <f t="shared" si="10"/>
        <v>2</v>
      </c>
      <c r="AN61" s="1699">
        <f t="shared" si="0"/>
        <v>1</v>
      </c>
      <c r="AO61" s="1697">
        <v>20</v>
      </c>
      <c r="AP61" s="1699">
        <v>1</v>
      </c>
      <c r="AQ61" s="1699">
        <v>1</v>
      </c>
      <c r="AR61" s="1699">
        <f t="shared" si="1"/>
        <v>1</v>
      </c>
      <c r="AS61" s="1743">
        <v>0</v>
      </c>
      <c r="AT61" s="1699">
        <v>0</v>
      </c>
      <c r="AU61" s="1692" t="s">
        <v>2294</v>
      </c>
      <c r="AV61" s="1692"/>
      <c r="AW61" s="210">
        <f t="shared" si="28"/>
        <v>4</v>
      </c>
      <c r="AX61" s="1951">
        <f t="shared" si="29"/>
        <v>1</v>
      </c>
      <c r="AY61" s="1952">
        <v>22</v>
      </c>
      <c r="AZ61" s="1951">
        <v>1</v>
      </c>
      <c r="BA61" s="1951">
        <v>1</v>
      </c>
      <c r="BB61" s="1951">
        <f aca="true" t="shared" si="33" ref="BB61:BB73">IF(AX61&gt;0,AZ61,"-")</f>
        <v>1</v>
      </c>
      <c r="BC61" s="1954">
        <v>0</v>
      </c>
      <c r="BD61" s="1951">
        <v>0</v>
      </c>
      <c r="BE61" s="210" t="s">
        <v>2472</v>
      </c>
      <c r="BF61" s="2415"/>
      <c r="BG61" s="2417">
        <f t="shared" si="14"/>
        <v>6</v>
      </c>
      <c r="BH61" s="2491">
        <f t="shared" si="4"/>
        <v>1</v>
      </c>
      <c r="BI61" s="2416">
        <v>6</v>
      </c>
      <c r="BJ61" s="2492">
        <v>1</v>
      </c>
      <c r="BK61" s="2416"/>
      <c r="BL61" s="2492">
        <f>BI61/Y61</f>
        <v>0.6</v>
      </c>
      <c r="BM61" s="2416"/>
      <c r="BN61" s="2416"/>
      <c r="BO61" s="2416" t="s">
        <v>3014</v>
      </c>
      <c r="BP61" s="2421"/>
    </row>
    <row r="62" spans="1:68" s="211" customFormat="1" ht="30" customHeight="1" thickBot="1">
      <c r="A62" s="2655"/>
      <c r="B62" s="2655"/>
      <c r="C62" s="2657"/>
      <c r="D62" s="107" t="s">
        <v>493</v>
      </c>
      <c r="E62" s="207" t="s">
        <v>198</v>
      </c>
      <c r="F62" s="110">
        <v>400</v>
      </c>
      <c r="G62" s="111" t="s">
        <v>494</v>
      </c>
      <c r="H62" s="112" t="s">
        <v>489</v>
      </c>
      <c r="I62" s="214">
        <f t="shared" si="30"/>
        <v>0.016666666666666666</v>
      </c>
      <c r="J62" s="112" t="s">
        <v>495</v>
      </c>
      <c r="K62" s="113">
        <v>42016</v>
      </c>
      <c r="L62" s="43">
        <v>42369</v>
      </c>
      <c r="M62" s="44"/>
      <c r="N62" s="44">
        <f>400/11</f>
        <v>36.36363636363637</v>
      </c>
      <c r="O62" s="44">
        <f aca="true" t="shared" si="34" ref="O62:X62">400/11</f>
        <v>36.36363636363637</v>
      </c>
      <c r="P62" s="44">
        <f t="shared" si="34"/>
        <v>36.36363636363637</v>
      </c>
      <c r="Q62" s="44">
        <f t="shared" si="34"/>
        <v>36.36363636363637</v>
      </c>
      <c r="R62" s="44">
        <f t="shared" si="34"/>
        <v>36.36363636363637</v>
      </c>
      <c r="S62" s="44">
        <f t="shared" si="34"/>
        <v>36.36363636363637</v>
      </c>
      <c r="T62" s="44">
        <f t="shared" si="34"/>
        <v>36.36363636363637</v>
      </c>
      <c r="U62" s="44">
        <f t="shared" si="34"/>
        <v>36.36363636363637</v>
      </c>
      <c r="V62" s="44">
        <f t="shared" si="34"/>
        <v>36.36363636363637</v>
      </c>
      <c r="W62" s="44">
        <f t="shared" si="34"/>
        <v>36.36363636363637</v>
      </c>
      <c r="X62" s="44">
        <f t="shared" si="34"/>
        <v>36.36363636363637</v>
      </c>
      <c r="Y62" s="45">
        <f t="shared" si="5"/>
        <v>400.00000000000006</v>
      </c>
      <c r="Z62" s="75">
        <v>0</v>
      </c>
      <c r="AA62" s="97" t="s">
        <v>1090</v>
      </c>
      <c r="AB62" s="1552">
        <f t="shared" si="6"/>
        <v>36.36363636363637</v>
      </c>
      <c r="AC62" s="1335">
        <f t="shared" si="7"/>
        <v>1</v>
      </c>
      <c r="AD62" s="1552">
        <v>60</v>
      </c>
      <c r="AE62" s="1335">
        <f t="shared" si="15"/>
        <v>1.65</v>
      </c>
      <c r="AF62" s="1630">
        <f t="shared" si="8"/>
        <v>0.14999999999999997</v>
      </c>
      <c r="AG62" s="1335">
        <f t="shared" si="9"/>
        <v>0.14999999999999997</v>
      </c>
      <c r="AH62" s="1335"/>
      <c r="AI62" s="1334"/>
      <c r="AJ62" s="1334"/>
      <c r="AK62" s="1334" t="s">
        <v>1869</v>
      </c>
      <c r="AL62" s="1334"/>
      <c r="AM62" s="1692">
        <f t="shared" si="10"/>
        <v>109.0909090909091</v>
      </c>
      <c r="AN62" s="1699">
        <f t="shared" si="0"/>
        <v>1</v>
      </c>
      <c r="AO62" s="1697">
        <v>96</v>
      </c>
      <c r="AP62" s="1699">
        <f t="shared" si="16"/>
        <v>0.88</v>
      </c>
      <c r="AQ62" s="1699">
        <f t="shared" si="11"/>
        <v>0.23999999999999996</v>
      </c>
      <c r="AR62" s="1699">
        <f t="shared" si="1"/>
        <v>0.88</v>
      </c>
      <c r="AS62" s="1743">
        <v>0</v>
      </c>
      <c r="AT62" s="1699">
        <v>0</v>
      </c>
      <c r="AU62" s="1692" t="s">
        <v>2295</v>
      </c>
      <c r="AV62" s="1692"/>
      <c r="AW62" s="210">
        <f t="shared" si="28"/>
        <v>181.81818181818184</v>
      </c>
      <c r="AX62" s="1951">
        <f t="shared" si="29"/>
        <v>1</v>
      </c>
      <c r="AY62" s="1952">
        <v>248</v>
      </c>
      <c r="AZ62" s="1951">
        <v>1</v>
      </c>
      <c r="BA62" s="1951">
        <f t="shared" si="32"/>
        <v>0.6199999999999999</v>
      </c>
      <c r="BB62" s="1951">
        <v>1</v>
      </c>
      <c r="BC62" s="1954">
        <v>0</v>
      </c>
      <c r="BD62" s="1951">
        <v>0</v>
      </c>
      <c r="BE62" s="210" t="s">
        <v>2466</v>
      </c>
      <c r="BF62" s="2415"/>
      <c r="BG62" s="2417">
        <f t="shared" si="14"/>
        <v>254.5454545454546</v>
      </c>
      <c r="BH62" s="2491">
        <f t="shared" si="4"/>
        <v>1</v>
      </c>
      <c r="BI62" s="2416">
        <v>70</v>
      </c>
      <c r="BJ62" s="2492">
        <v>1</v>
      </c>
      <c r="BK62" s="2416"/>
      <c r="BL62" s="2492">
        <v>1</v>
      </c>
      <c r="BM62" s="2416"/>
      <c r="BN62" s="2416"/>
      <c r="BO62" s="2416" t="s">
        <v>3015</v>
      </c>
      <c r="BP62" s="2421"/>
    </row>
    <row r="63" spans="1:68" s="211" customFormat="1" ht="156.75" customHeight="1" thickBot="1">
      <c r="A63" s="2655"/>
      <c r="B63" s="2655"/>
      <c r="C63" s="2657"/>
      <c r="D63" s="107" t="s">
        <v>496</v>
      </c>
      <c r="E63" s="207" t="s">
        <v>328</v>
      </c>
      <c r="F63" s="110">
        <v>2</v>
      </c>
      <c r="G63" s="111" t="s">
        <v>329</v>
      </c>
      <c r="H63" s="112" t="s">
        <v>497</v>
      </c>
      <c r="I63" s="214">
        <f t="shared" si="30"/>
        <v>0.016666666666666666</v>
      </c>
      <c r="J63" s="112" t="s">
        <v>498</v>
      </c>
      <c r="K63" s="113">
        <v>42014</v>
      </c>
      <c r="L63" s="43">
        <v>42369</v>
      </c>
      <c r="M63" s="44"/>
      <c r="N63" s="44"/>
      <c r="O63" s="44"/>
      <c r="P63" s="44">
        <v>1</v>
      </c>
      <c r="Q63" s="44"/>
      <c r="R63" s="44"/>
      <c r="S63" s="44"/>
      <c r="T63" s="44"/>
      <c r="U63" s="44">
        <v>1</v>
      </c>
      <c r="V63" s="44"/>
      <c r="W63" s="44"/>
      <c r="X63" s="44"/>
      <c r="Y63" s="45">
        <f t="shared" si="5"/>
        <v>2</v>
      </c>
      <c r="Z63" s="75">
        <v>0</v>
      </c>
      <c r="AA63" s="97" t="s">
        <v>1090</v>
      </c>
      <c r="AB63" s="1552">
        <f t="shared" si="6"/>
        <v>0</v>
      </c>
      <c r="AC63" s="1335">
        <f t="shared" si="7"/>
        <v>0</v>
      </c>
      <c r="AD63" s="1552">
        <v>0</v>
      </c>
      <c r="AE63" s="1335" t="s">
        <v>1090</v>
      </c>
      <c r="AF63" s="1630">
        <f t="shared" si="8"/>
        <v>0</v>
      </c>
      <c r="AG63" s="1335">
        <f t="shared" si="9"/>
        <v>0</v>
      </c>
      <c r="AH63" s="1335"/>
      <c r="AI63" s="1334"/>
      <c r="AJ63" s="1334"/>
      <c r="AK63" s="1334"/>
      <c r="AL63" s="1334"/>
      <c r="AM63" s="1692">
        <f t="shared" si="10"/>
        <v>1</v>
      </c>
      <c r="AN63" s="1699">
        <f t="shared" si="0"/>
        <v>1</v>
      </c>
      <c r="AO63" s="1697">
        <v>1</v>
      </c>
      <c r="AP63" s="1699">
        <f t="shared" si="16"/>
        <v>1</v>
      </c>
      <c r="AQ63" s="1699">
        <f t="shared" si="11"/>
        <v>0.5</v>
      </c>
      <c r="AR63" s="1699">
        <f t="shared" si="1"/>
        <v>1</v>
      </c>
      <c r="AS63" s="1743">
        <v>0</v>
      </c>
      <c r="AT63" s="1699">
        <v>0</v>
      </c>
      <c r="AU63" s="1692" t="s">
        <v>2296</v>
      </c>
      <c r="AV63" s="1692"/>
      <c r="AW63" s="210">
        <f t="shared" si="28"/>
        <v>1</v>
      </c>
      <c r="AX63" s="1951">
        <f t="shared" si="29"/>
        <v>1</v>
      </c>
      <c r="AY63" s="1952">
        <v>1</v>
      </c>
      <c r="AZ63" s="1951">
        <f t="shared" si="31"/>
        <v>1</v>
      </c>
      <c r="BA63" s="1951">
        <f t="shared" si="32"/>
        <v>0.5</v>
      </c>
      <c r="BB63" s="1951">
        <f t="shared" si="33"/>
        <v>1</v>
      </c>
      <c r="BC63" s="1954">
        <v>0</v>
      </c>
      <c r="BD63" s="1951">
        <v>0</v>
      </c>
      <c r="BE63" s="210"/>
      <c r="BF63" s="2415"/>
      <c r="BG63" s="2417">
        <f t="shared" si="14"/>
        <v>1</v>
      </c>
      <c r="BH63" s="2491">
        <f t="shared" si="4"/>
        <v>1</v>
      </c>
      <c r="BI63" s="2416">
        <v>1</v>
      </c>
      <c r="BJ63" s="2492">
        <v>1</v>
      </c>
      <c r="BK63" s="2416"/>
      <c r="BL63" s="2492">
        <v>0.5</v>
      </c>
      <c r="BM63" s="2416"/>
      <c r="BN63" s="2416"/>
      <c r="BO63" s="2416" t="s">
        <v>3016</v>
      </c>
      <c r="BP63" s="2421"/>
    </row>
    <row r="64" spans="1:68" s="211" customFormat="1" ht="59.25" customHeight="1" thickBot="1">
      <c r="A64" s="2655"/>
      <c r="B64" s="2655"/>
      <c r="C64" s="2657"/>
      <c r="D64" s="107" t="s">
        <v>499</v>
      </c>
      <c r="E64" s="207" t="s">
        <v>500</v>
      </c>
      <c r="F64" s="110">
        <v>10</v>
      </c>
      <c r="G64" s="111" t="s">
        <v>501</v>
      </c>
      <c r="H64" s="112" t="s">
        <v>497</v>
      </c>
      <c r="I64" s="214">
        <f t="shared" si="30"/>
        <v>0.016666666666666666</v>
      </c>
      <c r="J64" s="112" t="s">
        <v>502</v>
      </c>
      <c r="K64" s="113">
        <v>42036</v>
      </c>
      <c r="L64" s="43">
        <v>42246</v>
      </c>
      <c r="M64" s="44"/>
      <c r="N64" s="44">
        <v>1</v>
      </c>
      <c r="O64" s="44">
        <v>1</v>
      </c>
      <c r="P64" s="44">
        <v>1</v>
      </c>
      <c r="Q64" s="44">
        <v>1</v>
      </c>
      <c r="R64" s="44">
        <v>1</v>
      </c>
      <c r="S64" s="44">
        <v>1</v>
      </c>
      <c r="T64" s="44">
        <v>1</v>
      </c>
      <c r="U64" s="44">
        <v>1</v>
      </c>
      <c r="V64" s="44">
        <v>1</v>
      </c>
      <c r="W64" s="44">
        <v>1</v>
      </c>
      <c r="X64" s="44"/>
      <c r="Y64" s="45">
        <f t="shared" si="5"/>
        <v>10</v>
      </c>
      <c r="Z64" s="75">
        <v>0</v>
      </c>
      <c r="AA64" s="97" t="s">
        <v>1090</v>
      </c>
      <c r="AB64" s="1552">
        <f t="shared" si="6"/>
        <v>1</v>
      </c>
      <c r="AC64" s="1335">
        <f t="shared" si="7"/>
        <v>1</v>
      </c>
      <c r="AD64" s="1552">
        <v>130</v>
      </c>
      <c r="AE64" s="1335">
        <f t="shared" si="15"/>
        <v>130</v>
      </c>
      <c r="AF64" s="1630">
        <f t="shared" si="8"/>
        <v>13</v>
      </c>
      <c r="AG64" s="1335">
        <f t="shared" si="9"/>
        <v>13</v>
      </c>
      <c r="AH64" s="1335"/>
      <c r="AI64" s="1334"/>
      <c r="AJ64" s="1334"/>
      <c r="AK64" s="1334" t="s">
        <v>1870</v>
      </c>
      <c r="AL64" s="1334"/>
      <c r="AM64" s="1692">
        <f t="shared" si="10"/>
        <v>3</v>
      </c>
      <c r="AN64" s="1699">
        <f t="shared" si="0"/>
        <v>1</v>
      </c>
      <c r="AO64" s="1697">
        <v>181</v>
      </c>
      <c r="AP64" s="1699">
        <v>1</v>
      </c>
      <c r="AQ64" s="1699">
        <v>1</v>
      </c>
      <c r="AR64" s="1699">
        <f t="shared" si="1"/>
        <v>1</v>
      </c>
      <c r="AS64" s="1743">
        <v>0</v>
      </c>
      <c r="AT64" s="1699">
        <v>0</v>
      </c>
      <c r="AU64" s="1692" t="s">
        <v>2297</v>
      </c>
      <c r="AV64" s="1692"/>
      <c r="AW64" s="210">
        <f t="shared" si="28"/>
        <v>5</v>
      </c>
      <c r="AX64" s="1951">
        <f t="shared" si="29"/>
        <v>1</v>
      </c>
      <c r="AY64" s="1952">
        <v>179</v>
      </c>
      <c r="AZ64" s="1951">
        <v>1</v>
      </c>
      <c r="BA64" s="1951">
        <v>1</v>
      </c>
      <c r="BB64" s="1951">
        <f t="shared" si="33"/>
        <v>1</v>
      </c>
      <c r="BC64" s="1954">
        <v>0</v>
      </c>
      <c r="BD64" s="1951">
        <v>0</v>
      </c>
      <c r="BE64" s="210" t="s">
        <v>2479</v>
      </c>
      <c r="BF64" s="2415"/>
      <c r="BG64" s="2417">
        <f t="shared" si="14"/>
        <v>7</v>
      </c>
      <c r="BH64" s="2491">
        <f t="shared" si="4"/>
        <v>1</v>
      </c>
      <c r="BI64" s="2416">
        <v>366</v>
      </c>
      <c r="BJ64" s="2492">
        <v>1</v>
      </c>
      <c r="BK64" s="2416"/>
      <c r="BL64" s="2492">
        <v>1</v>
      </c>
      <c r="BM64" s="2416"/>
      <c r="BN64" s="2416"/>
      <c r="BO64" s="2416"/>
      <c r="BP64" s="2421"/>
    </row>
    <row r="65" spans="1:68" s="187" customFormat="1" ht="20.1" customHeight="1" thickBot="1">
      <c r="A65" s="2652" t="s">
        <v>130</v>
      </c>
      <c r="B65" s="2653"/>
      <c r="C65" s="2653"/>
      <c r="D65" s="2654"/>
      <c r="E65" s="83"/>
      <c r="F65" s="84"/>
      <c r="G65" s="84"/>
      <c r="H65" s="470"/>
      <c r="I65" s="157">
        <f>+SUM(I16:I64)</f>
        <v>0.885714285714286</v>
      </c>
      <c r="J65" s="84"/>
      <c r="K65" s="84"/>
      <c r="L65" s="84"/>
      <c r="M65" s="84"/>
      <c r="N65" s="84"/>
      <c r="O65" s="84"/>
      <c r="P65" s="84"/>
      <c r="Q65" s="84"/>
      <c r="R65" s="84"/>
      <c r="S65" s="84"/>
      <c r="T65" s="84"/>
      <c r="U65" s="84"/>
      <c r="V65" s="84"/>
      <c r="W65" s="84"/>
      <c r="X65" s="84"/>
      <c r="Y65" s="87"/>
      <c r="Z65" s="88">
        <f>SUM(Z16:Z64)</f>
        <v>1715000000</v>
      </c>
      <c r="AA65" s="89"/>
      <c r="AB65" s="1554"/>
      <c r="AC65" s="1556">
        <f>AVERAGEIF(AC16:AC64,"&gt;0")</f>
        <v>1</v>
      </c>
      <c r="AD65" s="1511"/>
      <c r="AE65" s="1496">
        <f>AVERAGE(AE16:AE64)</f>
        <v>9.438703703703704</v>
      </c>
      <c r="AF65" s="1494"/>
      <c r="AG65" s="1496">
        <f>AVERAGE(AG16:AG64)</f>
        <v>0.5177427334570192</v>
      </c>
      <c r="AH65" s="1495"/>
      <c r="AI65" s="1495"/>
      <c r="AJ65" s="1336"/>
      <c r="AK65" s="1336"/>
      <c r="AL65" s="1336"/>
      <c r="AM65" s="212"/>
      <c r="AN65" s="1878">
        <f>AVERAGEIF(AN16:AN64,"&gt;0")</f>
        <v>1</v>
      </c>
      <c r="AO65" s="212"/>
      <c r="AP65" s="1879">
        <f>AVERAGE(AP16:AP64)</f>
        <v>0.5825616161616161</v>
      </c>
      <c r="AQ65" s="1879"/>
      <c r="AR65" s="1879">
        <f>AVERAGE(AR16:AR64)</f>
        <v>0.39233741496598634</v>
      </c>
      <c r="AS65" s="212"/>
      <c r="AT65" s="212"/>
      <c r="AU65" s="212"/>
      <c r="AV65" s="212"/>
      <c r="AW65" s="212"/>
      <c r="AX65" s="1878">
        <f>AVERAGEIF(AX16:AX64,"&gt;0")</f>
        <v>1</v>
      </c>
      <c r="AY65" s="212"/>
      <c r="AZ65" s="1879">
        <f>AVERAGE(AZ59:AZ64,AZ16:AZ58)</f>
        <v>0.6404222222222222</v>
      </c>
      <c r="BA65" s="212"/>
      <c r="BB65" s="1879">
        <f>AVERAGE(BB59:BB64,BB16:BB58)</f>
        <v>0.5029049680478251</v>
      </c>
      <c r="BC65" s="212"/>
      <c r="BD65" s="1949"/>
      <c r="BE65" s="1949"/>
      <c r="BF65" s="2333"/>
      <c r="BG65" s="2333"/>
      <c r="BH65" s="2494">
        <v>1</v>
      </c>
      <c r="BI65" s="2495"/>
      <c r="BJ65" s="2496">
        <f>AVERAGE(BJ16:BJ64)</f>
        <v>0.7471957671957673</v>
      </c>
      <c r="BK65" s="2333"/>
      <c r="BL65" s="2496">
        <f>AVERAGE(BL16:BL64)</f>
        <v>0.5690965067340068</v>
      </c>
      <c r="BM65" s="2333"/>
      <c r="BN65" s="2333"/>
      <c r="BO65" s="2333"/>
      <c r="BP65" s="2335"/>
    </row>
    <row r="66" spans="1:68" s="211" customFormat="1" ht="51.75" thickBot="1">
      <c r="A66" s="2672">
        <v>2</v>
      </c>
      <c r="B66" s="2672" t="s">
        <v>131</v>
      </c>
      <c r="C66" s="2656" t="s">
        <v>503</v>
      </c>
      <c r="D66" s="107" t="s">
        <v>504</v>
      </c>
      <c r="E66" s="207" t="s">
        <v>72</v>
      </c>
      <c r="F66" s="110" t="s">
        <v>505</v>
      </c>
      <c r="G66" s="111" t="s">
        <v>73</v>
      </c>
      <c r="H66" s="112" t="s">
        <v>297</v>
      </c>
      <c r="I66" s="214">
        <v>0.16666666666666669</v>
      </c>
      <c r="J66" s="112" t="s">
        <v>134</v>
      </c>
      <c r="K66" s="113">
        <v>42005</v>
      </c>
      <c r="L66" s="43">
        <v>42369</v>
      </c>
      <c r="M66" s="44"/>
      <c r="N66" s="44"/>
      <c r="O66" s="44"/>
      <c r="P66" s="44"/>
      <c r="Q66" s="44"/>
      <c r="R66" s="44"/>
      <c r="S66" s="44"/>
      <c r="T66" s="44"/>
      <c r="U66" s="44"/>
      <c r="V66" s="44"/>
      <c r="W66" s="44"/>
      <c r="X66" s="44"/>
      <c r="Y66" s="45" t="s">
        <v>506</v>
      </c>
      <c r="Z66" s="75">
        <v>0</v>
      </c>
      <c r="AA66" s="97" t="s">
        <v>1090</v>
      </c>
      <c r="AB66" s="1552">
        <f>M66+N66</f>
        <v>0</v>
      </c>
      <c r="AC66" s="1335">
        <f t="shared" si="7"/>
        <v>0</v>
      </c>
      <c r="AD66" s="1552">
        <v>0</v>
      </c>
      <c r="AE66" s="1335" t="s">
        <v>1090</v>
      </c>
      <c r="AF66" s="1630" t="s">
        <v>1090</v>
      </c>
      <c r="AG66" s="1335" t="str">
        <f>AF66</f>
        <v>-</v>
      </c>
      <c r="AH66" s="1335"/>
      <c r="AI66" s="1334"/>
      <c r="AJ66" s="1334"/>
      <c r="AK66" s="1334"/>
      <c r="AL66" s="1334"/>
      <c r="AM66" s="1692">
        <f>SUM(M66:P66)</f>
        <v>0</v>
      </c>
      <c r="AN66" s="1699">
        <f t="shared" si="0"/>
        <v>0</v>
      </c>
      <c r="AO66" s="1697">
        <v>0</v>
      </c>
      <c r="AP66" s="1699" t="s">
        <v>1090</v>
      </c>
      <c r="AQ66" s="1699" t="s">
        <v>1090</v>
      </c>
      <c r="AR66" s="1699" t="str">
        <f t="shared" si="1"/>
        <v>-</v>
      </c>
      <c r="AS66" s="1743">
        <v>0</v>
      </c>
      <c r="AT66" s="1699">
        <v>0</v>
      </c>
      <c r="AU66" s="1692"/>
      <c r="AV66" s="1692"/>
      <c r="AW66" s="210">
        <f t="shared" si="28"/>
        <v>0</v>
      </c>
      <c r="AX66" s="1951">
        <f t="shared" si="29"/>
        <v>0</v>
      </c>
      <c r="AY66" s="1952">
        <v>0</v>
      </c>
      <c r="AZ66" s="1951" t="s">
        <v>1090</v>
      </c>
      <c r="BA66" s="1951" t="s">
        <v>1090</v>
      </c>
      <c r="BB66" s="1951" t="str">
        <f t="shared" si="33"/>
        <v>-</v>
      </c>
      <c r="BC66" s="1954">
        <v>0</v>
      </c>
      <c r="BD66" s="1951">
        <v>0</v>
      </c>
      <c r="BE66" s="210"/>
      <c r="BF66" s="2415"/>
      <c r="BG66" s="2420">
        <f>SUM(M66:T66)</f>
        <v>0</v>
      </c>
      <c r="BH66" s="2492">
        <f t="shared" si="4"/>
        <v>0</v>
      </c>
      <c r="BI66" s="2416">
        <v>1</v>
      </c>
      <c r="BJ66" s="2492" t="s">
        <v>1090</v>
      </c>
      <c r="BK66" s="2416"/>
      <c r="BL66" s="2492" t="s">
        <v>1090</v>
      </c>
      <c r="BM66" s="2416"/>
      <c r="BN66" s="2416"/>
      <c r="BO66" s="2416" t="s">
        <v>3017</v>
      </c>
      <c r="BP66" s="2421"/>
    </row>
    <row r="67" spans="1:68" s="211" customFormat="1" ht="39" thickBot="1">
      <c r="A67" s="2672"/>
      <c r="B67" s="2672"/>
      <c r="C67" s="2657"/>
      <c r="D67" s="107" t="s">
        <v>135</v>
      </c>
      <c r="E67" s="207" t="s">
        <v>136</v>
      </c>
      <c r="F67" s="110">
        <v>4</v>
      </c>
      <c r="G67" s="111" t="s">
        <v>137</v>
      </c>
      <c r="H67" s="112" t="s">
        <v>297</v>
      </c>
      <c r="I67" s="214">
        <v>0.16666666666666669</v>
      </c>
      <c r="J67" s="112" t="s">
        <v>138</v>
      </c>
      <c r="K67" s="113">
        <v>42005</v>
      </c>
      <c r="L67" s="43">
        <v>42369</v>
      </c>
      <c r="M67" s="44"/>
      <c r="N67" s="44"/>
      <c r="O67" s="44">
        <v>1</v>
      </c>
      <c r="P67" s="44"/>
      <c r="Q67" s="44"/>
      <c r="R67" s="44">
        <v>1</v>
      </c>
      <c r="S67" s="44"/>
      <c r="T67" s="44"/>
      <c r="U67" s="44">
        <v>1</v>
      </c>
      <c r="V67" s="44"/>
      <c r="W67" s="44"/>
      <c r="X67" s="44">
        <v>1</v>
      </c>
      <c r="Y67" s="45">
        <v>4</v>
      </c>
      <c r="Z67" s="75">
        <v>0</v>
      </c>
      <c r="AA67" s="97" t="s">
        <v>1090</v>
      </c>
      <c r="AB67" s="1552">
        <f aca="true" t="shared" si="35" ref="AB67:AB71">M67+N67</f>
        <v>0</v>
      </c>
      <c r="AC67" s="1335">
        <f t="shared" si="7"/>
        <v>0</v>
      </c>
      <c r="AD67" s="1552">
        <v>0</v>
      </c>
      <c r="AE67" s="1335" t="s">
        <v>1090</v>
      </c>
      <c r="AF67" s="1630">
        <f aca="true" t="shared" si="36" ref="AF67:AF69">AD67/Y67</f>
        <v>0</v>
      </c>
      <c r="AG67" s="1335">
        <f aca="true" t="shared" si="37" ref="AG67:AG71">AF67</f>
        <v>0</v>
      </c>
      <c r="AH67" s="1335"/>
      <c r="AI67" s="1334"/>
      <c r="AJ67" s="1334"/>
      <c r="AK67" s="1334"/>
      <c r="AL67" s="1334"/>
      <c r="AM67" s="1692">
        <f aca="true" t="shared" si="38" ref="AM67:AM71">SUM(M67:P67)</f>
        <v>1</v>
      </c>
      <c r="AN67" s="1699">
        <f t="shared" si="0"/>
        <v>1</v>
      </c>
      <c r="AO67" s="1697">
        <v>0</v>
      </c>
      <c r="AP67" s="1699">
        <f aca="true" t="shared" si="39" ref="AP67:AP69">AO67/AM67</f>
        <v>0</v>
      </c>
      <c r="AQ67" s="1699">
        <f aca="true" t="shared" si="40" ref="AQ67:AQ69">AO67/Y67</f>
        <v>0</v>
      </c>
      <c r="AR67" s="1699">
        <f t="shared" si="1"/>
        <v>0</v>
      </c>
      <c r="AS67" s="1743">
        <v>0</v>
      </c>
      <c r="AT67" s="1699">
        <v>0</v>
      </c>
      <c r="AU67" s="1692"/>
      <c r="AV67" s="1692"/>
      <c r="AW67" s="210">
        <f t="shared" si="28"/>
        <v>2</v>
      </c>
      <c r="AX67" s="1951">
        <f t="shared" si="29"/>
        <v>1</v>
      </c>
      <c r="AY67" s="1952">
        <v>0</v>
      </c>
      <c r="AZ67" s="1951">
        <f aca="true" t="shared" si="41" ref="AZ67">AY67/AW67</f>
        <v>0</v>
      </c>
      <c r="BA67" s="1951">
        <f aca="true" t="shared" si="42" ref="BA67">AY67/Y67</f>
        <v>0</v>
      </c>
      <c r="BB67" s="1951">
        <f t="shared" si="33"/>
        <v>0</v>
      </c>
      <c r="BC67" s="1954">
        <v>0</v>
      </c>
      <c r="BD67" s="1951">
        <v>0</v>
      </c>
      <c r="BE67" s="210"/>
      <c r="BF67" s="2415"/>
      <c r="BG67" s="2420">
        <f aca="true" t="shared" si="43" ref="BG67:BG71">SUM(M67:T67)</f>
        <v>2</v>
      </c>
      <c r="BH67" s="2492">
        <f t="shared" si="4"/>
        <v>1</v>
      </c>
      <c r="BI67" s="2416">
        <v>1</v>
      </c>
      <c r="BJ67" s="2492">
        <v>0.5</v>
      </c>
      <c r="BK67" s="2416"/>
      <c r="BL67" s="2492">
        <v>0.5</v>
      </c>
      <c r="BM67" s="2416"/>
      <c r="BN67" s="2416"/>
      <c r="BO67" s="2416" t="s">
        <v>3018</v>
      </c>
      <c r="BP67" s="2421"/>
    </row>
    <row r="68" spans="1:68" s="211" customFormat="1" ht="50.25" thickBot="1">
      <c r="A68" s="2672"/>
      <c r="B68" s="2672"/>
      <c r="C68" s="2656" t="s">
        <v>507</v>
      </c>
      <c r="D68" s="107" t="s">
        <v>151</v>
      </c>
      <c r="E68" s="207" t="s">
        <v>152</v>
      </c>
      <c r="F68" s="110">
        <v>12</v>
      </c>
      <c r="G68" s="111" t="s">
        <v>153</v>
      </c>
      <c r="H68" s="112" t="s">
        <v>297</v>
      </c>
      <c r="I68" s="214">
        <v>0.16666666666666669</v>
      </c>
      <c r="J68" s="112" t="s">
        <v>154</v>
      </c>
      <c r="K68" s="113">
        <v>42006</v>
      </c>
      <c r="L68" s="43">
        <v>42369</v>
      </c>
      <c r="M68" s="44">
        <v>1</v>
      </c>
      <c r="N68" s="44">
        <v>1</v>
      </c>
      <c r="O68" s="44">
        <v>1</v>
      </c>
      <c r="P68" s="44">
        <v>1</v>
      </c>
      <c r="Q68" s="44">
        <v>1</v>
      </c>
      <c r="R68" s="44">
        <v>1</v>
      </c>
      <c r="S68" s="44">
        <v>1</v>
      </c>
      <c r="T68" s="44">
        <v>1</v>
      </c>
      <c r="U68" s="44">
        <v>1</v>
      </c>
      <c r="V68" s="44">
        <v>1</v>
      </c>
      <c r="W68" s="44">
        <v>1</v>
      </c>
      <c r="X68" s="44">
        <v>1</v>
      </c>
      <c r="Y68" s="45">
        <v>12</v>
      </c>
      <c r="Z68" s="75">
        <v>0</v>
      </c>
      <c r="AA68" s="97" t="s">
        <v>1090</v>
      </c>
      <c r="AB68" s="1552">
        <f t="shared" si="35"/>
        <v>2</v>
      </c>
      <c r="AC68" s="1335">
        <f t="shared" si="7"/>
        <v>1</v>
      </c>
      <c r="AD68" s="1552">
        <v>2</v>
      </c>
      <c r="AE68" s="1335">
        <f t="shared" si="15"/>
        <v>1</v>
      </c>
      <c r="AF68" s="1630">
        <f t="shared" si="36"/>
        <v>0.16666666666666666</v>
      </c>
      <c r="AG68" s="1335">
        <f t="shared" si="37"/>
        <v>0.16666666666666666</v>
      </c>
      <c r="AH68" s="1335"/>
      <c r="AI68" s="1334"/>
      <c r="AJ68" s="1334"/>
      <c r="AK68" s="1334" t="s">
        <v>1871</v>
      </c>
      <c r="AL68" s="1334"/>
      <c r="AM68" s="1692">
        <f t="shared" si="38"/>
        <v>4</v>
      </c>
      <c r="AN68" s="1699">
        <f t="shared" si="0"/>
        <v>1</v>
      </c>
      <c r="AO68" s="1697">
        <v>2</v>
      </c>
      <c r="AP68" s="1699">
        <f t="shared" si="39"/>
        <v>0.5</v>
      </c>
      <c r="AQ68" s="1699">
        <f t="shared" si="40"/>
        <v>0.16666666666666666</v>
      </c>
      <c r="AR68" s="1699">
        <f t="shared" si="1"/>
        <v>0.5</v>
      </c>
      <c r="AS68" s="1743">
        <v>0</v>
      </c>
      <c r="AT68" s="1699">
        <v>0</v>
      </c>
      <c r="AU68" s="1692" t="s">
        <v>2298</v>
      </c>
      <c r="AV68" s="1692"/>
      <c r="AW68" s="210">
        <f t="shared" si="28"/>
        <v>6</v>
      </c>
      <c r="AX68" s="1951">
        <f t="shared" si="29"/>
        <v>1</v>
      </c>
      <c r="AY68" s="1952">
        <v>6</v>
      </c>
      <c r="AZ68" s="1951">
        <v>0.5</v>
      </c>
      <c r="BA68" s="1951">
        <v>0.5</v>
      </c>
      <c r="BB68" s="1951">
        <f t="shared" si="33"/>
        <v>0.5</v>
      </c>
      <c r="BC68" s="1954">
        <v>0</v>
      </c>
      <c r="BD68" s="1951">
        <v>0</v>
      </c>
      <c r="BE68" s="210" t="s">
        <v>2473</v>
      </c>
      <c r="BF68" s="2415"/>
      <c r="BG68" s="2420">
        <f t="shared" si="43"/>
        <v>8</v>
      </c>
      <c r="BH68" s="2492">
        <f t="shared" si="4"/>
        <v>1</v>
      </c>
      <c r="BI68" s="2416">
        <v>7</v>
      </c>
      <c r="BJ68" s="2492">
        <f>BI68/BG68</f>
        <v>0.875</v>
      </c>
      <c r="BK68" s="2416"/>
      <c r="BL68" s="2492">
        <f>BI68/Y68</f>
        <v>0.5833333333333334</v>
      </c>
      <c r="BM68" s="2416"/>
      <c r="BN68" s="2416"/>
      <c r="BO68" s="2416" t="s">
        <v>3019</v>
      </c>
      <c r="BP68" s="2421"/>
    </row>
    <row r="69" spans="1:68" s="211" customFormat="1" ht="50.25" thickBot="1">
      <c r="A69" s="2672"/>
      <c r="B69" s="2672"/>
      <c r="C69" s="2657"/>
      <c r="D69" s="107" t="s">
        <v>155</v>
      </c>
      <c r="E69" s="207" t="s">
        <v>152</v>
      </c>
      <c r="F69" s="110">
        <v>12</v>
      </c>
      <c r="G69" s="111" t="s">
        <v>153</v>
      </c>
      <c r="H69" s="112" t="s">
        <v>297</v>
      </c>
      <c r="I69" s="214">
        <v>0.16666666666666669</v>
      </c>
      <c r="J69" s="112" t="s">
        <v>154</v>
      </c>
      <c r="K69" s="113">
        <v>42006</v>
      </c>
      <c r="L69" s="43">
        <v>42369</v>
      </c>
      <c r="M69" s="44">
        <v>1</v>
      </c>
      <c r="N69" s="44">
        <v>1</v>
      </c>
      <c r="O69" s="44">
        <v>1</v>
      </c>
      <c r="P69" s="44">
        <v>1</v>
      </c>
      <c r="Q69" s="44">
        <v>1</v>
      </c>
      <c r="R69" s="44">
        <v>1</v>
      </c>
      <c r="S69" s="44">
        <v>1</v>
      </c>
      <c r="T69" s="44">
        <v>1</v>
      </c>
      <c r="U69" s="44">
        <v>1</v>
      </c>
      <c r="V69" s="44">
        <v>1</v>
      </c>
      <c r="W69" s="44">
        <v>1</v>
      </c>
      <c r="X69" s="44">
        <v>1</v>
      </c>
      <c r="Y69" s="45">
        <v>12</v>
      </c>
      <c r="Z69" s="75">
        <v>0</v>
      </c>
      <c r="AA69" s="97" t="s">
        <v>1090</v>
      </c>
      <c r="AB69" s="1552">
        <f t="shared" si="35"/>
        <v>2</v>
      </c>
      <c r="AC69" s="1335">
        <f t="shared" si="7"/>
        <v>1</v>
      </c>
      <c r="AD69" s="1552">
        <v>2</v>
      </c>
      <c r="AE69" s="1335">
        <f t="shared" si="15"/>
        <v>1</v>
      </c>
      <c r="AF69" s="1630">
        <f t="shared" si="36"/>
        <v>0.16666666666666666</v>
      </c>
      <c r="AG69" s="1335">
        <f t="shared" si="37"/>
        <v>0.16666666666666666</v>
      </c>
      <c r="AH69" s="1335"/>
      <c r="AI69" s="1334"/>
      <c r="AJ69" s="1334"/>
      <c r="AK69" s="1334" t="s">
        <v>1872</v>
      </c>
      <c r="AL69" s="1334"/>
      <c r="AM69" s="1692">
        <f t="shared" si="38"/>
        <v>4</v>
      </c>
      <c r="AN69" s="1699">
        <f t="shared" si="0"/>
        <v>1</v>
      </c>
      <c r="AO69" s="1697">
        <v>2</v>
      </c>
      <c r="AP69" s="1699">
        <f t="shared" si="39"/>
        <v>0.5</v>
      </c>
      <c r="AQ69" s="1699">
        <f t="shared" si="40"/>
        <v>0.16666666666666666</v>
      </c>
      <c r="AR69" s="1699">
        <f t="shared" si="1"/>
        <v>0.5</v>
      </c>
      <c r="AS69" s="1743">
        <v>0</v>
      </c>
      <c r="AT69" s="1699">
        <v>0</v>
      </c>
      <c r="AU69" s="1692" t="s">
        <v>2299</v>
      </c>
      <c r="AV69" s="1692"/>
      <c r="AW69" s="210">
        <f t="shared" si="28"/>
        <v>6</v>
      </c>
      <c r="AX69" s="1951">
        <f t="shared" si="29"/>
        <v>1</v>
      </c>
      <c r="AY69" s="1952">
        <v>6</v>
      </c>
      <c r="AZ69" s="1951">
        <v>0.5</v>
      </c>
      <c r="BA69" s="1951">
        <v>0.5</v>
      </c>
      <c r="BB69" s="1951">
        <f t="shared" si="33"/>
        <v>0.5</v>
      </c>
      <c r="BC69" s="1954">
        <v>0</v>
      </c>
      <c r="BD69" s="1951">
        <v>0</v>
      </c>
      <c r="BE69" s="210" t="s">
        <v>2474</v>
      </c>
      <c r="BF69" s="2415"/>
      <c r="BG69" s="2420">
        <f t="shared" si="43"/>
        <v>8</v>
      </c>
      <c r="BH69" s="2492">
        <f t="shared" si="4"/>
        <v>1</v>
      </c>
      <c r="BI69" s="2416">
        <v>7</v>
      </c>
      <c r="BJ69" s="2492">
        <f>BI69/BG69</f>
        <v>0.875</v>
      </c>
      <c r="BK69" s="2416"/>
      <c r="BL69" s="2492">
        <f>BI69/Y69</f>
        <v>0.5833333333333334</v>
      </c>
      <c r="BM69" s="2416"/>
      <c r="BN69" s="2416"/>
      <c r="BO69" s="2416" t="s">
        <v>3020</v>
      </c>
      <c r="BP69" s="2421"/>
    </row>
    <row r="70" spans="1:68" s="211" customFormat="1" ht="72.75" customHeight="1" thickBot="1">
      <c r="A70" s="2672"/>
      <c r="B70" s="2672"/>
      <c r="C70" s="2657"/>
      <c r="D70" s="107" t="s">
        <v>508</v>
      </c>
      <c r="E70" s="207" t="s">
        <v>157</v>
      </c>
      <c r="F70" s="110" t="s">
        <v>140</v>
      </c>
      <c r="G70" s="111" t="s">
        <v>141</v>
      </c>
      <c r="H70" s="112" t="s">
        <v>297</v>
      </c>
      <c r="I70" s="214">
        <v>0.16666666666666669</v>
      </c>
      <c r="J70" s="112" t="s">
        <v>158</v>
      </c>
      <c r="K70" s="113">
        <v>42006</v>
      </c>
      <c r="L70" s="43">
        <v>42369</v>
      </c>
      <c r="M70" s="44"/>
      <c r="N70" s="44"/>
      <c r="O70" s="44"/>
      <c r="P70" s="44"/>
      <c r="Q70" s="44"/>
      <c r="R70" s="44"/>
      <c r="S70" s="44"/>
      <c r="T70" s="44"/>
      <c r="U70" s="44"/>
      <c r="V70" s="44"/>
      <c r="W70" s="44"/>
      <c r="X70" s="44"/>
      <c r="Y70" s="45" t="s">
        <v>140</v>
      </c>
      <c r="Z70" s="75">
        <v>0</v>
      </c>
      <c r="AA70" s="97" t="s">
        <v>1090</v>
      </c>
      <c r="AB70" s="1552">
        <f t="shared" si="35"/>
        <v>0</v>
      </c>
      <c r="AC70" s="1335">
        <f t="shared" si="7"/>
        <v>0</v>
      </c>
      <c r="AD70" s="1552">
        <v>0</v>
      </c>
      <c r="AE70" s="1335" t="s">
        <v>1090</v>
      </c>
      <c r="AF70" s="1630" t="s">
        <v>1090</v>
      </c>
      <c r="AG70" s="1335" t="str">
        <f t="shared" si="37"/>
        <v>-</v>
      </c>
      <c r="AH70" s="1335"/>
      <c r="AI70" s="1334"/>
      <c r="AJ70" s="1334"/>
      <c r="AK70" s="1334"/>
      <c r="AL70" s="1334"/>
      <c r="AM70" s="1692">
        <f t="shared" si="38"/>
        <v>0</v>
      </c>
      <c r="AN70" s="1699">
        <f t="shared" si="0"/>
        <v>0</v>
      </c>
      <c r="AO70" s="1697">
        <v>0</v>
      </c>
      <c r="AP70" s="1699" t="s">
        <v>1090</v>
      </c>
      <c r="AQ70" s="1699" t="s">
        <v>1090</v>
      </c>
      <c r="AR70" s="1699" t="str">
        <f t="shared" si="1"/>
        <v>-</v>
      </c>
      <c r="AS70" s="1743">
        <v>0</v>
      </c>
      <c r="AT70" s="1699">
        <v>0</v>
      </c>
      <c r="AU70" s="1692"/>
      <c r="AV70" s="1692"/>
      <c r="AW70" s="210">
        <f t="shared" si="28"/>
        <v>0</v>
      </c>
      <c r="AX70" s="1951">
        <f t="shared" si="29"/>
        <v>0</v>
      </c>
      <c r="AY70" s="1952">
        <v>0</v>
      </c>
      <c r="AZ70" s="1951" t="s">
        <v>1090</v>
      </c>
      <c r="BA70" s="1951" t="s">
        <v>1090</v>
      </c>
      <c r="BB70" s="1951" t="str">
        <f t="shared" si="33"/>
        <v>-</v>
      </c>
      <c r="BC70" s="1954">
        <v>0</v>
      </c>
      <c r="BD70" s="1951">
        <v>0</v>
      </c>
      <c r="BE70" s="210" t="s">
        <v>2475</v>
      </c>
      <c r="BF70" s="2415"/>
      <c r="BG70" s="2420">
        <f t="shared" si="43"/>
        <v>0</v>
      </c>
      <c r="BH70" s="2492">
        <f t="shared" si="4"/>
        <v>0</v>
      </c>
      <c r="BI70" s="2416" t="s">
        <v>1090</v>
      </c>
      <c r="BJ70" s="2492" t="s">
        <v>1090</v>
      </c>
      <c r="BK70" s="2416"/>
      <c r="BL70" s="2492" t="s">
        <v>1090</v>
      </c>
      <c r="BM70" s="2416"/>
      <c r="BN70" s="2416"/>
      <c r="BO70" s="2416" t="s">
        <v>3021</v>
      </c>
      <c r="BP70" s="2421"/>
    </row>
    <row r="71" spans="1:68" s="211" customFormat="1" ht="33" customHeight="1" thickBot="1">
      <c r="A71" s="2774"/>
      <c r="B71" s="2774"/>
      <c r="C71" s="2664"/>
      <c r="D71" s="107" t="s">
        <v>147</v>
      </c>
      <c r="E71" s="207" t="s">
        <v>148</v>
      </c>
      <c r="F71" s="110" t="s">
        <v>149</v>
      </c>
      <c r="G71" s="111" t="s">
        <v>150</v>
      </c>
      <c r="H71" s="112" t="s">
        <v>297</v>
      </c>
      <c r="I71" s="214">
        <v>0.16666666666666669</v>
      </c>
      <c r="J71" s="112" t="s">
        <v>148</v>
      </c>
      <c r="K71" s="113">
        <v>42006</v>
      </c>
      <c r="L71" s="43">
        <v>42369</v>
      </c>
      <c r="M71" s="44"/>
      <c r="N71" s="44"/>
      <c r="O71" s="44"/>
      <c r="P71" s="44"/>
      <c r="Q71" s="44"/>
      <c r="R71" s="44"/>
      <c r="S71" s="44"/>
      <c r="T71" s="44"/>
      <c r="U71" s="44"/>
      <c r="V71" s="44"/>
      <c r="W71" s="44"/>
      <c r="X71" s="44"/>
      <c r="Y71" s="45" t="s">
        <v>149</v>
      </c>
      <c r="Z71" s="75">
        <v>0</v>
      </c>
      <c r="AA71" s="97" t="s">
        <v>1090</v>
      </c>
      <c r="AB71" s="1552">
        <f t="shared" si="35"/>
        <v>0</v>
      </c>
      <c r="AC71" s="1335">
        <f t="shared" si="7"/>
        <v>0</v>
      </c>
      <c r="AD71" s="1552">
        <v>0</v>
      </c>
      <c r="AE71" s="1335" t="s">
        <v>1090</v>
      </c>
      <c r="AF71" s="1630" t="s">
        <v>1090</v>
      </c>
      <c r="AG71" s="1335" t="str">
        <f t="shared" si="37"/>
        <v>-</v>
      </c>
      <c r="AH71" s="1335"/>
      <c r="AI71" s="1334"/>
      <c r="AJ71" s="1334"/>
      <c r="AK71" s="1334"/>
      <c r="AL71" s="1334"/>
      <c r="AM71" s="1692">
        <f t="shared" si="38"/>
        <v>0</v>
      </c>
      <c r="AN71" s="1699">
        <f t="shared" si="0"/>
        <v>0</v>
      </c>
      <c r="AO71" s="1697">
        <v>0</v>
      </c>
      <c r="AP71" s="1699" t="s">
        <v>1090</v>
      </c>
      <c r="AQ71" s="1699" t="s">
        <v>1090</v>
      </c>
      <c r="AR71" s="1699" t="str">
        <f t="shared" si="1"/>
        <v>-</v>
      </c>
      <c r="AS71" s="1743">
        <v>0</v>
      </c>
      <c r="AT71" s="1699">
        <v>0</v>
      </c>
      <c r="AU71" s="1692"/>
      <c r="AV71" s="1692"/>
      <c r="AW71" s="210">
        <f t="shared" si="28"/>
        <v>0</v>
      </c>
      <c r="AX71" s="1951">
        <f t="shared" si="29"/>
        <v>0</v>
      </c>
      <c r="AY71" s="1952">
        <v>0</v>
      </c>
      <c r="AZ71" s="1951" t="s">
        <v>1090</v>
      </c>
      <c r="BA71" s="1951" t="s">
        <v>1090</v>
      </c>
      <c r="BB71" s="1951" t="str">
        <f t="shared" si="33"/>
        <v>-</v>
      </c>
      <c r="BC71" s="1954">
        <v>0</v>
      </c>
      <c r="BD71" s="1951">
        <v>0</v>
      </c>
      <c r="BE71" s="210" t="s">
        <v>2480</v>
      </c>
      <c r="BF71" s="2415"/>
      <c r="BG71" s="2420">
        <f t="shared" si="43"/>
        <v>0</v>
      </c>
      <c r="BH71" s="2492">
        <f t="shared" si="4"/>
        <v>0</v>
      </c>
      <c r="BI71" s="2422" t="s">
        <v>1090</v>
      </c>
      <c r="BJ71" s="2493" t="s">
        <v>1090</v>
      </c>
      <c r="BK71" s="2422"/>
      <c r="BL71" s="2493" t="s">
        <v>1090</v>
      </c>
      <c r="BM71" s="2422"/>
      <c r="BN71" s="2422"/>
      <c r="BO71" s="2422"/>
      <c r="BP71" s="2423"/>
    </row>
    <row r="72" spans="1:68" s="187" customFormat="1" ht="20.1" customHeight="1" thickBot="1">
      <c r="A72" s="2652" t="s">
        <v>130</v>
      </c>
      <c r="B72" s="2653"/>
      <c r="C72" s="2653"/>
      <c r="D72" s="2654"/>
      <c r="E72" s="83"/>
      <c r="F72" s="84"/>
      <c r="G72" s="84"/>
      <c r="H72" s="470"/>
      <c r="I72" s="93">
        <f>+SUM(I66:I71)</f>
        <v>1.0000000000000002</v>
      </c>
      <c r="J72" s="84"/>
      <c r="K72" s="84"/>
      <c r="L72" s="84"/>
      <c r="M72" s="84"/>
      <c r="N72" s="84"/>
      <c r="O72" s="84"/>
      <c r="P72" s="84"/>
      <c r="Q72" s="84"/>
      <c r="R72" s="84"/>
      <c r="S72" s="84"/>
      <c r="T72" s="84"/>
      <c r="U72" s="84"/>
      <c r="V72" s="84"/>
      <c r="W72" s="84"/>
      <c r="X72" s="84"/>
      <c r="Y72" s="87"/>
      <c r="Z72" s="218">
        <f>SUM(Z66:Z71)</f>
        <v>0</v>
      </c>
      <c r="AA72" s="89"/>
      <c r="AB72" s="1523"/>
      <c r="AC72" s="1555">
        <f>AVERAGEIF(AC66:AC71,"&gt;0")</f>
        <v>1</v>
      </c>
      <c r="AD72" s="1523"/>
      <c r="AE72" s="1555">
        <f>AVERAGE(AE66:AE71)</f>
        <v>1</v>
      </c>
      <c r="AF72" s="1522"/>
      <c r="AG72" s="1555">
        <f>AVERAGE(AG66:AG71)</f>
        <v>0.1111111111111111</v>
      </c>
      <c r="AH72" s="1323"/>
      <c r="AI72" s="1323"/>
      <c r="AJ72" s="1323"/>
      <c r="AK72" s="1323"/>
      <c r="AL72" s="1323"/>
      <c r="AM72" s="212"/>
      <c r="AN72" s="1878">
        <f>AVERAGEIF(AN23:AN71,"&gt;0")</f>
        <v>1</v>
      </c>
      <c r="AO72" s="212"/>
      <c r="AP72" s="1879">
        <f>AVERAGE(AP66:AP71)</f>
        <v>0.3333333333333333</v>
      </c>
      <c r="AQ72" s="1879"/>
      <c r="AR72" s="1879">
        <f>AVERAGE(AR66:AR71)</f>
        <v>0.3333333333333333</v>
      </c>
      <c r="AS72" s="212"/>
      <c r="AT72" s="212"/>
      <c r="AU72" s="212"/>
      <c r="AV72" s="212"/>
      <c r="AW72" s="212"/>
      <c r="AX72" s="1878">
        <f>AVERAGEIF(AX23:AX71,"&gt;0")</f>
        <v>1</v>
      </c>
      <c r="AY72" s="212"/>
      <c r="AZ72" s="1879">
        <f>AVERAGE(AZ66:AZ71)</f>
        <v>0.3333333333333333</v>
      </c>
      <c r="BA72" s="212"/>
      <c r="BB72" s="1879">
        <f>AVERAGE(BB66:BB71)</f>
        <v>0.3333333333333333</v>
      </c>
      <c r="BC72" s="212"/>
      <c r="BD72" s="1949"/>
      <c r="BE72" s="1949"/>
      <c r="BF72" s="1949"/>
      <c r="BG72" s="2335"/>
      <c r="BH72" s="1878">
        <v>1</v>
      </c>
      <c r="BI72" s="2335"/>
      <c r="BJ72" s="2205">
        <f>AVERAGE(BJ66:BJ71)</f>
        <v>0.75</v>
      </c>
      <c r="BK72" s="2335"/>
      <c r="BL72" s="2205">
        <f>AVERAGE(BL66:BL71)</f>
        <v>0.5555555555555557</v>
      </c>
      <c r="BM72" s="2335"/>
      <c r="BN72" s="2335"/>
      <c r="BO72" s="2335"/>
      <c r="BP72" s="2335"/>
    </row>
    <row r="73" spans="1:68" s="211" customFormat="1" ht="64.5" thickBot="1">
      <c r="A73" s="2658">
        <v>3</v>
      </c>
      <c r="B73" s="2658" t="s">
        <v>228</v>
      </c>
      <c r="C73" s="2656" t="s">
        <v>229</v>
      </c>
      <c r="D73" s="107" t="s">
        <v>230</v>
      </c>
      <c r="E73" s="207" t="s">
        <v>231</v>
      </c>
      <c r="F73" s="110">
        <v>2</v>
      </c>
      <c r="G73" s="111" t="s">
        <v>232</v>
      </c>
      <c r="H73" s="112" t="s">
        <v>509</v>
      </c>
      <c r="I73" s="214">
        <v>0.5</v>
      </c>
      <c r="J73" s="112" t="s">
        <v>234</v>
      </c>
      <c r="K73" s="113">
        <v>42051</v>
      </c>
      <c r="L73" s="43">
        <v>42058</v>
      </c>
      <c r="M73" s="44">
        <v>2</v>
      </c>
      <c r="N73" s="44"/>
      <c r="O73" s="44"/>
      <c r="P73" s="44"/>
      <c r="Q73" s="44"/>
      <c r="R73" s="44"/>
      <c r="S73" s="44"/>
      <c r="T73" s="44"/>
      <c r="U73" s="44"/>
      <c r="V73" s="44"/>
      <c r="W73" s="44"/>
      <c r="X73" s="44"/>
      <c r="Y73" s="45">
        <f>+SUM(M73:X73)</f>
        <v>2</v>
      </c>
      <c r="Z73" s="75">
        <v>0</v>
      </c>
      <c r="AA73" s="97" t="s">
        <v>1090</v>
      </c>
      <c r="AB73" s="1552">
        <f>M73+N73</f>
        <v>2</v>
      </c>
      <c r="AC73" s="1335">
        <f t="shared" si="7"/>
        <v>1</v>
      </c>
      <c r="AD73" s="1552">
        <v>2</v>
      </c>
      <c r="AE73" s="1335">
        <f>AD73/AB73</f>
        <v>1</v>
      </c>
      <c r="AF73" s="1630">
        <f>AD73/Y73</f>
        <v>1</v>
      </c>
      <c r="AG73" s="1335">
        <f>AF73</f>
        <v>1</v>
      </c>
      <c r="AH73" s="1335"/>
      <c r="AI73" s="1334"/>
      <c r="AJ73" s="1334"/>
      <c r="AK73" s="1334" t="s">
        <v>1873</v>
      </c>
      <c r="AL73" s="1334"/>
      <c r="AM73" s="1692">
        <f>SUM(M73:P73)</f>
        <v>2</v>
      </c>
      <c r="AN73" s="1699">
        <f t="shared" si="0"/>
        <v>1</v>
      </c>
      <c r="AO73" s="1694">
        <v>0</v>
      </c>
      <c r="AP73" s="1699">
        <f>AO73/AM73</f>
        <v>0</v>
      </c>
      <c r="AQ73" s="1699">
        <f>AO73/Y73</f>
        <v>0</v>
      </c>
      <c r="AR73" s="1699">
        <f t="shared" si="1"/>
        <v>0</v>
      </c>
      <c r="AS73" s="1743">
        <v>0</v>
      </c>
      <c r="AT73" s="1699">
        <v>0</v>
      </c>
      <c r="AU73" s="1692"/>
      <c r="AV73" s="1692"/>
      <c r="AW73" s="210">
        <f t="shared" si="28"/>
        <v>2</v>
      </c>
      <c r="AX73" s="1951">
        <f t="shared" si="29"/>
        <v>1</v>
      </c>
      <c r="AY73" s="1952">
        <v>2</v>
      </c>
      <c r="AZ73" s="1951">
        <f>AY73/AW73</f>
        <v>1</v>
      </c>
      <c r="BA73" s="1951">
        <v>1</v>
      </c>
      <c r="BB73" s="1951">
        <f t="shared" si="33"/>
        <v>1</v>
      </c>
      <c r="BC73" s="1954">
        <v>0</v>
      </c>
      <c r="BD73" s="1951">
        <v>0</v>
      </c>
      <c r="BE73" s="210"/>
      <c r="BF73" s="2415"/>
      <c r="BG73" s="2417">
        <f>SUM(M73:T73)</f>
        <v>2</v>
      </c>
      <c r="BH73" s="2491">
        <f t="shared" si="4"/>
        <v>1</v>
      </c>
      <c r="BI73" s="2418">
        <v>2</v>
      </c>
      <c r="BJ73" s="2491">
        <v>1</v>
      </c>
      <c r="BK73" s="2418"/>
      <c r="BL73" s="2491">
        <v>1</v>
      </c>
      <c r="BM73" s="2418"/>
      <c r="BN73" s="2418"/>
      <c r="BO73" s="2418"/>
      <c r="BP73" s="2419"/>
    </row>
    <row r="74" spans="1:68" s="211" customFormat="1" ht="77.25" thickBot="1">
      <c r="A74" s="2655"/>
      <c r="B74" s="2655"/>
      <c r="C74" s="2657"/>
      <c r="D74" s="107" t="s">
        <v>235</v>
      </c>
      <c r="E74" s="207" t="s">
        <v>72</v>
      </c>
      <c r="F74" s="110">
        <v>1</v>
      </c>
      <c r="G74" s="111" t="s">
        <v>73</v>
      </c>
      <c r="H74" s="112" t="s">
        <v>509</v>
      </c>
      <c r="I74" s="214">
        <v>0.5</v>
      </c>
      <c r="J74" s="112" t="s">
        <v>236</v>
      </c>
      <c r="K74" s="113">
        <v>42247</v>
      </c>
      <c r="L74" s="43">
        <v>42254</v>
      </c>
      <c r="M74" s="44"/>
      <c r="N74" s="44"/>
      <c r="O74" s="44"/>
      <c r="P74" s="44"/>
      <c r="Q74" s="44"/>
      <c r="R74" s="44"/>
      <c r="S74" s="44"/>
      <c r="T74" s="44"/>
      <c r="U74" s="44"/>
      <c r="V74" s="44"/>
      <c r="W74" s="44"/>
      <c r="X74" s="44">
        <v>1</v>
      </c>
      <c r="Y74" s="45">
        <f>+SUM(M74:X74)</f>
        <v>1</v>
      </c>
      <c r="Z74" s="75">
        <v>0</v>
      </c>
      <c r="AA74" s="97" t="s">
        <v>1090</v>
      </c>
      <c r="AB74" s="1552">
        <f>M74+N74</f>
        <v>0</v>
      </c>
      <c r="AC74" s="1335">
        <f t="shared" si="7"/>
        <v>0</v>
      </c>
      <c r="AD74" s="1552">
        <v>0</v>
      </c>
      <c r="AE74" s="1335" t="s">
        <v>1090</v>
      </c>
      <c r="AF74" s="1630">
        <f>AD74/Y74</f>
        <v>0</v>
      </c>
      <c r="AG74" s="1335">
        <f>AF74</f>
        <v>0</v>
      </c>
      <c r="AH74" s="1335"/>
      <c r="AI74" s="1334"/>
      <c r="AJ74" s="1334"/>
      <c r="AK74" s="1334"/>
      <c r="AL74" s="1334"/>
      <c r="AM74" s="1692">
        <f>SUM(M74:P74)</f>
        <v>0</v>
      </c>
      <c r="AN74" s="1699">
        <f t="shared" si="0"/>
        <v>0</v>
      </c>
      <c r="AO74" s="1694">
        <v>0</v>
      </c>
      <c r="AP74" s="1699" t="s">
        <v>1090</v>
      </c>
      <c r="AQ74" s="1699">
        <f>AO74/Y74</f>
        <v>0</v>
      </c>
      <c r="AR74" s="1699">
        <v>0</v>
      </c>
      <c r="AS74" s="1743">
        <v>0</v>
      </c>
      <c r="AT74" s="1699">
        <v>0</v>
      </c>
      <c r="AU74" s="1692"/>
      <c r="AV74" s="1692"/>
      <c r="AW74" s="210">
        <f t="shared" si="28"/>
        <v>0</v>
      </c>
      <c r="AX74" s="1951">
        <f t="shared" si="29"/>
        <v>0</v>
      </c>
      <c r="AY74" s="1952">
        <v>0</v>
      </c>
      <c r="AZ74" s="1951" t="s">
        <v>1090</v>
      </c>
      <c r="BA74" s="1951">
        <f>AY74/Y74</f>
        <v>0</v>
      </c>
      <c r="BB74" s="1951">
        <v>0</v>
      </c>
      <c r="BC74" s="1954">
        <v>0</v>
      </c>
      <c r="BD74" s="1951">
        <v>0</v>
      </c>
      <c r="BE74" s="210"/>
      <c r="BF74" s="2415"/>
      <c r="BG74" s="2417">
        <f>SUM(M74:T74)</f>
        <v>0</v>
      </c>
      <c r="BH74" s="2491">
        <f t="shared" si="4"/>
        <v>0</v>
      </c>
      <c r="BI74" s="2416" t="s">
        <v>1090</v>
      </c>
      <c r="BJ74" s="2492" t="s">
        <v>1090</v>
      </c>
      <c r="BK74" s="2416"/>
      <c r="BL74" s="2492">
        <v>0</v>
      </c>
      <c r="BM74" s="2416"/>
      <c r="BN74" s="2416"/>
      <c r="BO74" s="2416"/>
      <c r="BP74" s="2421"/>
    </row>
    <row r="75" spans="1:68" s="187" customFormat="1" ht="20.1" customHeight="1" thickBot="1">
      <c r="A75" s="2652" t="s">
        <v>130</v>
      </c>
      <c r="B75" s="2653"/>
      <c r="C75" s="2653"/>
      <c r="D75" s="2654"/>
      <c r="E75" s="84"/>
      <c r="F75" s="84"/>
      <c r="G75" s="84"/>
      <c r="H75" s="84"/>
      <c r="I75" s="86">
        <f>+SUM(I73:I74)</f>
        <v>1</v>
      </c>
      <c r="J75" s="84"/>
      <c r="K75" s="84"/>
      <c r="L75" s="84"/>
      <c r="M75" s="84"/>
      <c r="N75" s="84"/>
      <c r="O75" s="84"/>
      <c r="P75" s="84"/>
      <c r="Q75" s="84"/>
      <c r="R75" s="84"/>
      <c r="S75" s="84"/>
      <c r="T75" s="84"/>
      <c r="U75" s="84"/>
      <c r="V75" s="84"/>
      <c r="W75" s="84"/>
      <c r="X75" s="84"/>
      <c r="Y75" s="87"/>
      <c r="Z75" s="88">
        <f>SUM(Z73:Z74)</f>
        <v>0</v>
      </c>
      <c r="AA75" s="89"/>
      <c r="AB75" s="1511"/>
      <c r="AC75" s="1496">
        <f>AVERAGEIF(AC73:AC74,"&gt;0")</f>
        <v>1</v>
      </c>
      <c r="AD75" s="1511"/>
      <c r="AE75" s="1496">
        <f>AVERAGE(AE73:AE74)</f>
        <v>1</v>
      </c>
      <c r="AF75" s="1494"/>
      <c r="AG75" s="1496">
        <f>AVERAGE(AG73:AG74)</f>
        <v>0.5</v>
      </c>
      <c r="AH75" s="1336"/>
      <c r="AI75" s="1336"/>
      <c r="AJ75" s="1336"/>
      <c r="AK75" s="1336"/>
      <c r="AL75" s="1336"/>
      <c r="AM75" s="212"/>
      <c r="AN75" s="1878">
        <f>AVERAGEIF(AN26:AN74,"&gt;0")</f>
        <v>1</v>
      </c>
      <c r="AO75" s="212"/>
      <c r="AP75" s="1879">
        <f>AVERAGE(AP73:AP74)</f>
        <v>0</v>
      </c>
      <c r="AQ75" s="1879"/>
      <c r="AR75" s="1879">
        <f>AVERAGE(AR73:AR74)</f>
        <v>0</v>
      </c>
      <c r="AS75" s="212"/>
      <c r="AT75" s="212"/>
      <c r="AU75" s="212"/>
      <c r="AV75" s="212"/>
      <c r="AW75" s="212"/>
      <c r="AX75" s="1878">
        <f>AVERAGEIF(AX26:AX74,"&gt;0")</f>
        <v>1</v>
      </c>
      <c r="AY75" s="212"/>
      <c r="AZ75" s="1879">
        <f>AVERAGE(AZ73:AZ74)</f>
        <v>1</v>
      </c>
      <c r="BA75" s="212"/>
      <c r="BB75" s="1879">
        <f>AVERAGE(BB73:BB74)</f>
        <v>0.5</v>
      </c>
      <c r="BC75" s="212"/>
      <c r="BD75" s="1949"/>
      <c r="BE75" s="1949"/>
      <c r="BF75" s="2333"/>
      <c r="BG75" s="2473"/>
      <c r="BH75" s="2204">
        <v>1</v>
      </c>
      <c r="BI75" s="2203"/>
      <c r="BJ75" s="2205">
        <f>AVERAGE(BJ73:BJ74)</f>
        <v>1</v>
      </c>
      <c r="BK75" s="2473"/>
      <c r="BL75" s="1879">
        <f>AVERAGE(BL73:BL74)</f>
        <v>0.5</v>
      </c>
      <c r="BM75" s="2473"/>
      <c r="BN75" s="2473"/>
      <c r="BO75" s="2473"/>
      <c r="BP75" s="2473"/>
    </row>
    <row r="76" spans="1:68" s="187" customFormat="1" ht="20.1" customHeight="1" thickBot="1">
      <c r="A76" s="2669" t="s">
        <v>290</v>
      </c>
      <c r="B76" s="2669"/>
      <c r="C76" s="2669"/>
      <c r="D76" s="2669"/>
      <c r="E76" s="219"/>
      <c r="F76" s="219"/>
      <c r="G76" s="219"/>
      <c r="H76" s="220"/>
      <c r="I76" s="221">
        <f>+(I75+I72+I65)/3</f>
        <v>0.961904761904762</v>
      </c>
      <c r="J76" s="220"/>
      <c r="K76" s="220"/>
      <c r="L76" s="220"/>
      <c r="M76" s="220"/>
      <c r="N76" s="220"/>
      <c r="O76" s="220"/>
      <c r="P76" s="220"/>
      <c r="Q76" s="220"/>
      <c r="R76" s="220"/>
      <c r="S76" s="220"/>
      <c r="T76" s="220"/>
      <c r="U76" s="220"/>
      <c r="V76" s="220"/>
      <c r="W76" s="220"/>
      <c r="X76" s="220"/>
      <c r="Y76" s="222"/>
      <c r="Z76" s="223">
        <f>SUM(Z65,Z72,Z75)</f>
        <v>1715000000</v>
      </c>
      <c r="AA76" s="224"/>
      <c r="AB76" s="1513"/>
      <c r="AC76" s="1342">
        <f>AVERAGE(AC75,AC72,AC65)</f>
        <v>1</v>
      </c>
      <c r="AD76" s="1513"/>
      <c r="AE76" s="1342">
        <f>AVERAGE(AE75,AE72,AE65)</f>
        <v>3.812901234567901</v>
      </c>
      <c r="AF76" s="1312"/>
      <c r="AG76" s="1342">
        <f>AVERAGE(AG75,AG72,AG65,)</f>
        <v>0.2822134611420326</v>
      </c>
      <c r="AH76" s="1337"/>
      <c r="AI76" s="1337"/>
      <c r="AJ76" s="1337"/>
      <c r="AK76" s="1337"/>
      <c r="AL76" s="1337"/>
      <c r="AM76" s="225"/>
      <c r="AN76" s="1342">
        <f>AVERAGE(AN75,AN72,AN65)</f>
        <v>1</v>
      </c>
      <c r="AO76" s="225"/>
      <c r="AP76" s="1342">
        <f>AVERAGE(AP75,AP72,AP65)</f>
        <v>0.30529831649831646</v>
      </c>
      <c r="AQ76" s="1649"/>
      <c r="AR76" s="1342">
        <f>AVERAGE(AR75,AR72,AR65)</f>
        <v>0.24189024943310655</v>
      </c>
      <c r="AS76" s="225"/>
      <c r="AT76" s="225"/>
      <c r="AU76" s="225"/>
      <c r="AV76" s="225"/>
      <c r="AW76" s="225"/>
      <c r="AX76" s="1342">
        <f>AVERAGE(AX75,AX72,AX65)</f>
        <v>1</v>
      </c>
      <c r="AY76" s="225"/>
      <c r="AZ76" s="1342">
        <f>AVERAGE(AZ75,AZ72,AZ65)</f>
        <v>0.6579185185185185</v>
      </c>
      <c r="BA76" s="225"/>
      <c r="BB76" s="1342">
        <f>AVERAGE(BB75,BB7:BB72,BB65,)</f>
        <v>0.4821313456802178</v>
      </c>
      <c r="BC76" s="225"/>
      <c r="BD76" s="1948"/>
      <c r="BE76" s="1948"/>
      <c r="BF76" s="1948"/>
      <c r="BG76" s="2334"/>
      <c r="BH76" s="2206">
        <v>1</v>
      </c>
      <c r="BI76" s="2334"/>
      <c r="BJ76" s="1546">
        <f>AVERAGE(BJ75,BJ72,BJ65)</f>
        <v>0.8323985890652558</v>
      </c>
      <c r="BK76" s="2334"/>
      <c r="BL76" s="1546">
        <f>AVERAGE(BL75,BL72,BL65)</f>
        <v>0.5415506874298542</v>
      </c>
      <c r="BM76" s="2334"/>
      <c r="BN76" s="2334"/>
      <c r="BO76" s="2334"/>
      <c r="BP76" s="2334"/>
    </row>
    <row r="77" spans="1:68" s="186" customFormat="1" ht="20.1" customHeight="1" thickBot="1">
      <c r="A77" s="226"/>
      <c r="B77" s="227"/>
      <c r="C77" s="228"/>
      <c r="D77" s="228"/>
      <c r="E77" s="228"/>
      <c r="F77" s="229"/>
      <c r="G77" s="228"/>
      <c r="H77" s="228"/>
      <c r="I77" s="230"/>
      <c r="J77" s="228"/>
      <c r="K77" s="231"/>
      <c r="L77" s="231"/>
      <c r="M77" s="228"/>
      <c r="N77" s="228"/>
      <c r="O77" s="228"/>
      <c r="P77" s="228"/>
      <c r="Q77" s="228"/>
      <c r="R77" s="228"/>
      <c r="S77" s="228"/>
      <c r="T77" s="228"/>
      <c r="U77" s="228"/>
      <c r="V77" s="228"/>
      <c r="W77" s="228"/>
      <c r="X77" s="228"/>
      <c r="Y77" s="232"/>
      <c r="Z77" s="233">
        <f>SUM(Z76)</f>
        <v>1715000000</v>
      </c>
      <c r="AA77" s="228"/>
      <c r="AB77" s="1530"/>
      <c r="AC77" s="1548">
        <f>AVERAGE(AC76)</f>
        <v>1</v>
      </c>
      <c r="AD77" s="1530"/>
      <c r="AE77" s="1548">
        <f>AVERAGE(AE76)</f>
        <v>3.812901234567901</v>
      </c>
      <c r="AF77" s="1529"/>
      <c r="AG77" s="1548">
        <f>AVERAGE(AG76)</f>
        <v>0.2822134611420326</v>
      </c>
      <c r="AH77" s="1338"/>
      <c r="AI77" s="1338"/>
      <c r="AJ77" s="1338"/>
      <c r="AK77" s="1338"/>
      <c r="AL77" s="1338"/>
      <c r="AM77" s="1886"/>
      <c r="AN77" s="1885">
        <f>AVERAGE(AN76)</f>
        <v>1</v>
      </c>
      <c r="AO77" s="1886"/>
      <c r="AP77" s="1885">
        <f>AVERAGE(AP76)</f>
        <v>0.30529831649831646</v>
      </c>
      <c r="AQ77" s="1886"/>
      <c r="AR77" s="1885">
        <f>AVERAGE(AR76)</f>
        <v>0.24189024943310655</v>
      </c>
      <c r="AS77" s="1886"/>
      <c r="AT77" s="1886"/>
      <c r="AU77" s="234"/>
      <c r="AV77" s="234"/>
      <c r="AW77" s="1547"/>
      <c r="AX77" s="1548">
        <f>AVERAGE(AX76)</f>
        <v>1</v>
      </c>
      <c r="AY77" s="1547"/>
      <c r="AZ77" s="1548">
        <f>AVERAGE(AZ76)</f>
        <v>0.6579185185185185</v>
      </c>
      <c r="BA77" s="1547"/>
      <c r="BB77" s="1548">
        <f>AVERAGE(BB76)</f>
        <v>0.4821313456802178</v>
      </c>
      <c r="BC77" s="1338"/>
      <c r="BD77" s="1338"/>
      <c r="BE77" s="1338"/>
      <c r="BF77" s="1338"/>
      <c r="BG77" s="1338"/>
      <c r="BH77" s="2443">
        <v>1</v>
      </c>
      <c r="BI77" s="1338"/>
      <c r="BJ77" s="2442">
        <f>AVERAGE(BJ76)</f>
        <v>0.8323985890652558</v>
      </c>
      <c r="BK77" s="1338"/>
      <c r="BL77" s="2442">
        <f>AVERAGE(BL76)</f>
        <v>0.5415506874298542</v>
      </c>
      <c r="BM77" s="1338"/>
      <c r="BN77" s="1338"/>
      <c r="BO77" s="1338"/>
      <c r="BP77" s="1338"/>
    </row>
  </sheetData>
  <mergeCells count="49">
    <mergeCell ref="C36:C41"/>
    <mergeCell ref="BD11:BF11"/>
    <mergeCell ref="BD13:BF13"/>
    <mergeCell ref="AW11:BC11"/>
    <mergeCell ref="AM13:AV13"/>
    <mergeCell ref="AW13:BC13"/>
    <mergeCell ref="AM11:AV11"/>
    <mergeCell ref="A11:D11"/>
    <mergeCell ref="E11:AA11"/>
    <mergeCell ref="AB11:AL11"/>
    <mergeCell ref="A13:D13"/>
    <mergeCell ref="E13:AA13"/>
    <mergeCell ref="AB13:AL13"/>
    <mergeCell ref="A1:C4"/>
    <mergeCell ref="D1:BC2"/>
    <mergeCell ref="D3:BC4"/>
    <mergeCell ref="AM7:AV9"/>
    <mergeCell ref="AW5:BF9"/>
    <mergeCell ref="A5:AA5"/>
    <mergeCell ref="AB5:AL6"/>
    <mergeCell ref="AM5:AV6"/>
    <mergeCell ref="A6:AA6"/>
    <mergeCell ref="A8:AA8"/>
    <mergeCell ref="A9:AA9"/>
    <mergeCell ref="A7:AA7"/>
    <mergeCell ref="AB7:AL9"/>
    <mergeCell ref="A76:D76"/>
    <mergeCell ref="C59:C64"/>
    <mergeCell ref="A65:D65"/>
    <mergeCell ref="A66:A71"/>
    <mergeCell ref="B66:B71"/>
    <mergeCell ref="C66:C67"/>
    <mergeCell ref="C68:C71"/>
    <mergeCell ref="A72:D72"/>
    <mergeCell ref="A73:A74"/>
    <mergeCell ref="B73:B74"/>
    <mergeCell ref="C73:C74"/>
    <mergeCell ref="A75:D75"/>
    <mergeCell ref="A16:A64"/>
    <mergeCell ref="B16:B64"/>
    <mergeCell ref="C42:C57"/>
    <mergeCell ref="C16:C35"/>
    <mergeCell ref="BG13:BI13"/>
    <mergeCell ref="BJ13:BL13"/>
    <mergeCell ref="BM13:BO13"/>
    <mergeCell ref="BG5:BP9"/>
    <mergeCell ref="BG11:BI11"/>
    <mergeCell ref="BJ11:BL11"/>
    <mergeCell ref="BM11:BO11"/>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9"/>
  <sheetViews>
    <sheetView zoomScale="80" zoomScaleNormal="80" workbookViewId="0" topLeftCell="A1">
      <pane xSplit="4" ySplit="14" topLeftCell="T33" activePane="bottomRight" state="frozen"/>
      <selection pane="topRight" activeCell="E1" sqref="E1"/>
      <selection pane="bottomLeft" activeCell="A15" sqref="A15"/>
      <selection pane="bottomRight" activeCell="BG15" sqref="BG15"/>
    </sheetView>
  </sheetViews>
  <sheetFormatPr defaultColWidth="11.421875" defaultRowHeight="15"/>
  <cols>
    <col min="1" max="1" width="6.421875" style="2" customWidth="1"/>
    <col min="2" max="2" width="22.140625" style="1" customWidth="1"/>
    <col min="3" max="3" width="24.57421875" style="2" customWidth="1"/>
    <col min="4" max="4" width="41.421875" style="2" customWidth="1"/>
    <col min="5" max="5" width="14.28125" style="2" customWidth="1"/>
    <col min="6" max="6" width="12.421875" style="2" customWidth="1"/>
    <col min="7" max="7" width="20.8515625" style="2" customWidth="1"/>
    <col min="8" max="8" width="18.00390625" style="2" customWidth="1"/>
    <col min="9" max="9" width="11.7109375" style="2" bestFit="1" customWidth="1"/>
    <col min="10" max="10" width="39.140625" style="2" customWidth="1"/>
    <col min="11" max="11" width="10.7109375" style="2" customWidth="1"/>
    <col min="12" max="12" width="11.28125" style="2" customWidth="1"/>
    <col min="13" max="24" width="4.57421875" style="2" customWidth="1"/>
    <col min="25" max="25" width="13.00390625" style="272" customWidth="1"/>
    <col min="26" max="26" width="20.7109375" style="2" customWidth="1"/>
    <col min="27" max="27" width="22.140625" style="2" customWidth="1"/>
    <col min="28" max="28" width="11.421875" style="1341" hidden="1" customWidth="1"/>
    <col min="29" max="29" width="17.140625" style="1369" hidden="1" customWidth="1"/>
    <col min="30" max="30" width="11.421875" style="1520" hidden="1" customWidth="1"/>
    <col min="31" max="32" width="11.421875" style="1343" hidden="1" customWidth="1"/>
    <col min="33" max="33" width="13.00390625" style="1321" hidden="1" customWidth="1"/>
    <col min="34" max="36" width="11.421875" style="2" hidden="1" customWidth="1"/>
    <col min="37" max="37" width="45.57421875" style="2" hidden="1" customWidth="1"/>
    <col min="38" max="38" width="22.28125" style="2" hidden="1" customWidth="1"/>
    <col min="39" max="39" width="11.421875" style="2" hidden="1" customWidth="1"/>
    <col min="40" max="40" width="11.421875" style="1650" hidden="1" customWidth="1"/>
    <col min="41" max="41" width="11.421875" style="2" hidden="1" customWidth="1"/>
    <col min="42" max="42" width="11.421875" style="1650" hidden="1" customWidth="1"/>
    <col min="43" max="43" width="14.28125" style="1650" hidden="1" customWidth="1"/>
    <col min="44" max="44" width="11.421875" style="1650" hidden="1" customWidth="1"/>
    <col min="45" max="45" width="15.140625" style="2" hidden="1" customWidth="1"/>
    <col min="46" max="46" width="11.421875" style="2" hidden="1" customWidth="1"/>
    <col min="47" max="47" width="38.00390625" style="2" hidden="1" customWidth="1"/>
    <col min="48" max="48" width="26.8515625" style="2" hidden="1" customWidth="1"/>
    <col min="49" max="53" width="11.421875" style="2" hidden="1" customWidth="1"/>
    <col min="54" max="54" width="15.00390625" style="2" hidden="1" customWidth="1"/>
    <col min="55" max="55" width="10.8515625" style="2" hidden="1" customWidth="1"/>
    <col min="56" max="56" width="11.421875" style="2" hidden="1" customWidth="1"/>
    <col min="57" max="57" width="47.140625" style="2" hidden="1" customWidth="1"/>
    <col min="58" max="58" width="27.28125" style="2" hidden="1" customWidth="1"/>
    <col min="59" max="63" width="11.421875" style="2" customWidth="1"/>
    <col min="64" max="64" width="12.8515625" style="2" bestFit="1" customWidth="1"/>
    <col min="65" max="66" width="11.421875" style="2" customWidth="1"/>
    <col min="67" max="67" width="72.140625" style="2" customWidth="1"/>
    <col min="68" max="68" width="45.28125" style="2" customWidth="1"/>
    <col min="69" max="69" width="11.00390625" style="2" customWidth="1"/>
    <col min="70" max="16384" width="11.421875" style="2" customWidth="1"/>
  </cols>
  <sheetData>
    <row r="1" spans="1:55"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row>
    <row r="2" spans="1:55"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row>
    <row r="3" spans="1:55"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row>
    <row r="4" spans="1:55"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708"/>
      <c r="AX4" s="2708"/>
      <c r="AY4" s="2708"/>
      <c r="AZ4" s="2708"/>
      <c r="BA4" s="2708"/>
      <c r="BB4" s="2708"/>
      <c r="BC4" s="2708"/>
    </row>
    <row r="5" spans="1:68"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520" t="s">
        <v>2852</v>
      </c>
      <c r="AX5" s="2521"/>
      <c r="AY5" s="2521"/>
      <c r="AZ5" s="2521"/>
      <c r="BA5" s="2521"/>
      <c r="BB5" s="2521"/>
      <c r="BC5" s="2521"/>
      <c r="BD5" s="2521"/>
      <c r="BE5" s="2521"/>
      <c r="BF5" s="2522"/>
      <c r="BG5" s="2575" t="s">
        <v>2856</v>
      </c>
      <c r="BH5" s="2576"/>
      <c r="BI5" s="2576"/>
      <c r="BJ5" s="2576"/>
      <c r="BK5" s="2576"/>
      <c r="BL5" s="2576"/>
      <c r="BM5" s="2576"/>
      <c r="BN5" s="2576"/>
      <c r="BO5" s="2576"/>
      <c r="BP5" s="2577"/>
    </row>
    <row r="6" spans="1:68"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523"/>
      <c r="AX6" s="2524"/>
      <c r="AY6" s="2524"/>
      <c r="AZ6" s="2524"/>
      <c r="BA6" s="2524"/>
      <c r="BB6" s="2524"/>
      <c r="BC6" s="2524"/>
      <c r="BD6" s="2524"/>
      <c r="BE6" s="2524"/>
      <c r="BF6" s="2525"/>
      <c r="BG6" s="2578"/>
      <c r="BH6" s="2579"/>
      <c r="BI6" s="2579"/>
      <c r="BJ6" s="2579"/>
      <c r="BK6" s="2579"/>
      <c r="BL6" s="2579"/>
      <c r="BM6" s="2579"/>
      <c r="BN6" s="2579"/>
      <c r="BO6" s="2579"/>
      <c r="BP6" s="2580"/>
    </row>
    <row r="7" spans="1:68"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2452</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523"/>
      <c r="AX7" s="2524"/>
      <c r="AY7" s="2524"/>
      <c r="AZ7" s="2524"/>
      <c r="BA7" s="2524"/>
      <c r="BB7" s="2524"/>
      <c r="BC7" s="2524"/>
      <c r="BD7" s="2524"/>
      <c r="BE7" s="2524"/>
      <c r="BF7" s="2525"/>
      <c r="BG7" s="2578"/>
      <c r="BH7" s="2579"/>
      <c r="BI7" s="2579"/>
      <c r="BJ7" s="2579"/>
      <c r="BK7" s="2579"/>
      <c r="BL7" s="2579"/>
      <c r="BM7" s="2579"/>
      <c r="BN7" s="2579"/>
      <c r="BO7" s="2579"/>
      <c r="BP7" s="2580"/>
    </row>
    <row r="8" spans="1:68"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523"/>
      <c r="AX8" s="2524"/>
      <c r="AY8" s="2524"/>
      <c r="AZ8" s="2524"/>
      <c r="BA8" s="2524"/>
      <c r="BB8" s="2524"/>
      <c r="BC8" s="2524"/>
      <c r="BD8" s="2524"/>
      <c r="BE8" s="2524"/>
      <c r="BF8" s="2525"/>
      <c r="BG8" s="2578"/>
      <c r="BH8" s="2579"/>
      <c r="BI8" s="2579"/>
      <c r="BJ8" s="2579"/>
      <c r="BK8" s="2579"/>
      <c r="BL8" s="2579"/>
      <c r="BM8" s="2579"/>
      <c r="BN8" s="2579"/>
      <c r="BO8" s="2579"/>
      <c r="BP8" s="2580"/>
    </row>
    <row r="9" spans="1:68"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526"/>
      <c r="AX9" s="2527"/>
      <c r="AY9" s="2527"/>
      <c r="AZ9" s="2527"/>
      <c r="BA9" s="2527"/>
      <c r="BB9" s="2527"/>
      <c r="BC9" s="2527"/>
      <c r="BD9" s="2527"/>
      <c r="BE9" s="2527"/>
      <c r="BF9" s="2528"/>
      <c r="BG9" s="2581"/>
      <c r="BH9" s="2582"/>
      <c r="BI9" s="2582"/>
      <c r="BJ9" s="2582"/>
      <c r="BK9" s="2582"/>
      <c r="BL9" s="2582"/>
      <c r="BM9" s="2582"/>
      <c r="BN9" s="2582"/>
      <c r="BO9" s="2582"/>
      <c r="BP9" s="2583"/>
    </row>
    <row r="10" spans="1:68" ht="9" customHeight="1" thickBot="1">
      <c r="A10" s="3"/>
      <c r="B10" s="4"/>
      <c r="C10" s="3"/>
      <c r="D10" s="3"/>
      <c r="E10" s="3"/>
      <c r="F10" s="237"/>
      <c r="G10" s="3"/>
      <c r="H10" s="3"/>
      <c r="I10" s="238"/>
      <c r="J10" s="3"/>
      <c r="K10" s="239"/>
      <c r="L10" s="239"/>
      <c r="M10" s="3"/>
      <c r="N10" s="3"/>
      <c r="O10" s="3"/>
      <c r="P10" s="3"/>
      <c r="Q10" s="3"/>
      <c r="R10" s="3"/>
      <c r="S10" s="3"/>
      <c r="T10" s="3"/>
      <c r="U10" s="3"/>
      <c r="V10" s="3"/>
      <c r="W10" s="3"/>
      <c r="X10" s="3"/>
      <c r="Y10" s="240"/>
      <c r="Z10" s="241"/>
      <c r="AA10" s="3"/>
      <c r="AB10" s="1293"/>
      <c r="AC10" s="1306"/>
      <c r="AD10" s="1505"/>
      <c r="AE10" s="1306"/>
      <c r="AF10" s="1306"/>
      <c r="AG10" s="1339"/>
      <c r="AH10" s="242"/>
      <c r="AI10" s="242"/>
      <c r="AJ10" s="242"/>
      <c r="AK10" s="242"/>
      <c r="AL10" s="242"/>
      <c r="AM10"/>
      <c r="AN10"/>
      <c r="AO10"/>
      <c r="AP10"/>
      <c r="AQ10"/>
      <c r="AR10"/>
      <c r="AS10"/>
      <c r="AT10"/>
      <c r="AU10"/>
      <c r="AV10"/>
      <c r="AW10"/>
      <c r="AX10"/>
      <c r="AY10"/>
      <c r="AZ10"/>
      <c r="BA10"/>
      <c r="BB10"/>
      <c r="BC10"/>
      <c r="BG10"/>
      <c r="BH10"/>
      <c r="BI10"/>
      <c r="BJ10"/>
      <c r="BK10"/>
      <c r="BL10"/>
      <c r="BM10"/>
      <c r="BN10" s="2327"/>
      <c r="BO10" s="2327"/>
      <c r="BP10" s="2327"/>
    </row>
    <row r="11" spans="1:68" s="3" customFormat="1" ht="21" customHeight="1" thickBot="1">
      <c r="A11" s="2837" t="s">
        <v>7</v>
      </c>
      <c r="B11" s="2838"/>
      <c r="C11" s="2838"/>
      <c r="D11" s="2839"/>
      <c r="E11" s="2642" t="s">
        <v>761</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42" t="s">
        <v>761</v>
      </c>
      <c r="AC11" s="2643"/>
      <c r="AD11" s="2643"/>
      <c r="AE11" s="2643"/>
      <c r="AF11" s="2643"/>
      <c r="AG11" s="2643"/>
      <c r="AH11" s="2643"/>
      <c r="AI11" s="2643"/>
      <c r="AJ11" s="2643"/>
      <c r="AK11" s="2643"/>
      <c r="AL11" s="2644"/>
      <c r="AM11" s="2642" t="s">
        <v>761</v>
      </c>
      <c r="AN11" s="2643"/>
      <c r="AO11" s="2643"/>
      <c r="AP11" s="2643"/>
      <c r="AQ11" s="2643"/>
      <c r="AR11" s="2643"/>
      <c r="AS11" s="2643"/>
      <c r="AT11" s="2643"/>
      <c r="AU11" s="2643"/>
      <c r="AV11" s="2644"/>
      <c r="AW11" s="2642" t="s">
        <v>761</v>
      </c>
      <c r="AX11" s="2643"/>
      <c r="AY11" s="2643"/>
      <c r="AZ11" s="2643"/>
      <c r="BA11" s="2643"/>
      <c r="BB11" s="2643"/>
      <c r="BC11" s="2643"/>
      <c r="BD11" s="2643"/>
      <c r="BE11" s="2643"/>
      <c r="BF11" s="2644"/>
      <c r="BG11" s="2642" t="s">
        <v>761</v>
      </c>
      <c r="BH11" s="2643"/>
      <c r="BI11" s="2643"/>
      <c r="BJ11" s="2643"/>
      <c r="BK11" s="2643"/>
      <c r="BL11" s="2643"/>
      <c r="BM11" s="2643"/>
      <c r="BN11" s="2643"/>
      <c r="BO11" s="2643"/>
      <c r="BP11" s="2644"/>
    </row>
    <row r="12" spans="2:38" s="13" customFormat="1" ht="9.95" customHeight="1" thickBot="1">
      <c r="B12" s="14"/>
      <c r="F12" s="243"/>
      <c r="I12" s="244"/>
      <c r="K12" s="245"/>
      <c r="L12" s="245"/>
      <c r="Z12" s="247"/>
      <c r="AB12" s="1294"/>
      <c r="AC12" s="1307"/>
      <c r="AD12" s="1506"/>
      <c r="AE12" s="1307"/>
      <c r="AF12" s="1307"/>
      <c r="AG12" s="1340"/>
      <c r="AH12" s="248"/>
      <c r="AI12" s="248"/>
      <c r="AJ12" s="248"/>
      <c r="AK12" s="248"/>
      <c r="AL12" s="248"/>
    </row>
    <row r="13" spans="1:68" s="4" customFormat="1" ht="21" customHeight="1" thickBot="1">
      <c r="A13" s="2645" t="s">
        <v>9</v>
      </c>
      <c r="B13" s="2646"/>
      <c r="C13" s="2646"/>
      <c r="D13" s="2647"/>
      <c r="E13" s="2648" t="s">
        <v>554</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48" t="s">
        <v>554</v>
      </c>
      <c r="AC13" s="2649"/>
      <c r="AD13" s="2649"/>
      <c r="AE13" s="2649"/>
      <c r="AF13" s="2649"/>
      <c r="AG13" s="2649"/>
      <c r="AH13" s="2649"/>
      <c r="AI13" s="2649"/>
      <c r="AJ13" s="2649"/>
      <c r="AK13" s="2649"/>
      <c r="AL13" s="2650"/>
      <c r="AM13" s="2648" t="s">
        <v>554</v>
      </c>
      <c r="AN13" s="2649"/>
      <c r="AO13" s="2649"/>
      <c r="AP13" s="2649"/>
      <c r="AQ13" s="2649"/>
      <c r="AR13" s="2649"/>
      <c r="AS13" s="2649"/>
      <c r="AT13" s="2649"/>
      <c r="AU13" s="2649"/>
      <c r="AV13" s="2650"/>
      <c r="AW13" s="2648" t="s">
        <v>554</v>
      </c>
      <c r="AX13" s="2649"/>
      <c r="AY13" s="2649"/>
      <c r="AZ13" s="2649"/>
      <c r="BA13" s="2649"/>
      <c r="BB13" s="2649"/>
      <c r="BC13" s="2649"/>
      <c r="BD13" s="2649"/>
      <c r="BE13" s="2649"/>
      <c r="BF13" s="2650"/>
      <c r="BG13" s="2648" t="s">
        <v>554</v>
      </c>
      <c r="BH13" s="2649"/>
      <c r="BI13" s="2649"/>
      <c r="BJ13" s="2649"/>
      <c r="BK13" s="2649"/>
      <c r="BL13" s="2649"/>
      <c r="BM13" s="2649"/>
      <c r="BN13" s="2649"/>
      <c r="BO13" s="2649"/>
      <c r="BP13" s="2650"/>
    </row>
    <row r="14" spans="2:38" s="13" customFormat="1" ht="9.95" customHeight="1" thickBot="1">
      <c r="B14" s="14"/>
      <c r="F14" s="243"/>
      <c r="I14" s="244"/>
      <c r="K14" s="245"/>
      <c r="L14" s="245"/>
      <c r="Z14" s="247"/>
      <c r="AB14" s="1294"/>
      <c r="AC14" s="1307"/>
      <c r="AD14" s="1506"/>
      <c r="AE14" s="1307"/>
      <c r="AF14" s="1307"/>
      <c r="AG14" s="1340"/>
      <c r="AH14" s="248"/>
      <c r="AI14" s="248"/>
      <c r="AJ14" s="248"/>
      <c r="AK14" s="248"/>
      <c r="AL14" s="248"/>
    </row>
    <row r="15" spans="1:68" s="35" customFormat="1" ht="45.75" customHeight="1" thickBot="1">
      <c r="A15" s="22" t="s">
        <v>11</v>
      </c>
      <c r="B15" s="396" t="s">
        <v>12</v>
      </c>
      <c r="C15" s="22" t="s">
        <v>13</v>
      </c>
      <c r="D15" s="322" t="s">
        <v>14</v>
      </c>
      <c r="E15" s="322" t="s">
        <v>15</v>
      </c>
      <c r="F15" s="322" t="s">
        <v>16</v>
      </c>
      <c r="G15" s="322" t="s">
        <v>17</v>
      </c>
      <c r="H15" s="322" t="s">
        <v>18</v>
      </c>
      <c r="I15" s="322" t="s">
        <v>19</v>
      </c>
      <c r="J15" s="322" t="s">
        <v>20</v>
      </c>
      <c r="K15" s="322" t="s">
        <v>21</v>
      </c>
      <c r="L15" s="322" t="s">
        <v>22</v>
      </c>
      <c r="M15" s="484" t="s">
        <v>23</v>
      </c>
      <c r="N15" s="484" t="s">
        <v>24</v>
      </c>
      <c r="O15" s="484" t="s">
        <v>25</v>
      </c>
      <c r="P15" s="484" t="s">
        <v>26</v>
      </c>
      <c r="Q15" s="484" t="s">
        <v>27</v>
      </c>
      <c r="R15" s="484" t="s">
        <v>28</v>
      </c>
      <c r="S15" s="484" t="s">
        <v>29</v>
      </c>
      <c r="T15" s="484" t="s">
        <v>30</v>
      </c>
      <c r="U15" s="484" t="s">
        <v>31</v>
      </c>
      <c r="V15" s="484" t="s">
        <v>32</v>
      </c>
      <c r="W15" s="484" t="s">
        <v>33</v>
      </c>
      <c r="X15" s="484" t="s">
        <v>34</v>
      </c>
      <c r="Y15" s="322" t="s">
        <v>35</v>
      </c>
      <c r="Z15" s="485" t="s">
        <v>36</v>
      </c>
      <c r="AA15" s="322" t="s">
        <v>37</v>
      </c>
      <c r="AB15" s="1296" t="s">
        <v>38</v>
      </c>
      <c r="AC15" s="1613" t="s">
        <v>1781</v>
      </c>
      <c r="AD15" s="1508" t="s">
        <v>39</v>
      </c>
      <c r="AE15" s="1614" t="s">
        <v>1821</v>
      </c>
      <c r="AF15" s="1614" t="s">
        <v>1822</v>
      </c>
      <c r="AG15" s="1613" t="s">
        <v>1783</v>
      </c>
      <c r="AH15" s="32" t="s">
        <v>40</v>
      </c>
      <c r="AI15" s="32" t="s">
        <v>41</v>
      </c>
      <c r="AJ15" s="32" t="s">
        <v>42</v>
      </c>
      <c r="AK15" s="32" t="s">
        <v>43</v>
      </c>
      <c r="AL15" s="32" t="s">
        <v>44</v>
      </c>
      <c r="AM15" s="33" t="s">
        <v>45</v>
      </c>
      <c r="AN15" s="33" t="s">
        <v>1781</v>
      </c>
      <c r="AO15" s="33" t="s">
        <v>46</v>
      </c>
      <c r="AP15" s="33" t="s">
        <v>2193</v>
      </c>
      <c r="AQ15" s="33" t="s">
        <v>1822</v>
      </c>
      <c r="AR15" s="33" t="s">
        <v>2194</v>
      </c>
      <c r="AS15" s="33" t="s">
        <v>41</v>
      </c>
      <c r="AT15" s="33" t="s">
        <v>42</v>
      </c>
      <c r="AU15" s="33" t="s">
        <v>43</v>
      </c>
      <c r="AV15" s="33" t="s">
        <v>44</v>
      </c>
      <c r="AW15" s="1983" t="s">
        <v>47</v>
      </c>
      <c r="AX15" s="1983" t="s">
        <v>1781</v>
      </c>
      <c r="AY15" s="1983" t="s">
        <v>48</v>
      </c>
      <c r="AZ15" s="1983" t="s">
        <v>2453</v>
      </c>
      <c r="BA15" s="1983" t="s">
        <v>1822</v>
      </c>
      <c r="BB15" s="1983" t="s">
        <v>2489</v>
      </c>
      <c r="BC15" s="1983" t="s">
        <v>41</v>
      </c>
      <c r="BD15" s="1983" t="s">
        <v>42</v>
      </c>
      <c r="BE15" s="1983" t="s">
        <v>43</v>
      </c>
      <c r="BF15" s="1983" t="s">
        <v>44</v>
      </c>
      <c r="BG15" s="2364" t="s">
        <v>49</v>
      </c>
      <c r="BH15" s="2364" t="s">
        <v>1781</v>
      </c>
      <c r="BI15" s="2364" t="s">
        <v>50</v>
      </c>
      <c r="BJ15" s="2364" t="s">
        <v>2946</v>
      </c>
      <c r="BK15" s="2364" t="s">
        <v>1822</v>
      </c>
      <c r="BL15" s="2364" t="s">
        <v>2858</v>
      </c>
      <c r="BM15" s="2364" t="s">
        <v>41</v>
      </c>
      <c r="BN15" s="2364" t="s">
        <v>42</v>
      </c>
      <c r="BO15" s="2364" t="s">
        <v>43</v>
      </c>
      <c r="BP15" s="2364" t="s">
        <v>44</v>
      </c>
    </row>
    <row r="16" spans="1:68" s="34" customFormat="1" ht="251.25" customHeight="1" thickBot="1">
      <c r="A16" s="490">
        <v>1</v>
      </c>
      <c r="B16" s="490" t="s">
        <v>628</v>
      </c>
      <c r="C16" s="605" t="s">
        <v>1089</v>
      </c>
      <c r="D16" s="290" t="s">
        <v>1091</v>
      </c>
      <c r="E16" s="150" t="s">
        <v>1093</v>
      </c>
      <c r="F16" s="255">
        <v>1</v>
      </c>
      <c r="G16" s="53" t="s">
        <v>1092</v>
      </c>
      <c r="H16" s="65" t="s">
        <v>767</v>
      </c>
      <c r="I16" s="486">
        <v>1</v>
      </c>
      <c r="J16" s="65" t="s">
        <v>1094</v>
      </c>
      <c r="K16" s="56">
        <v>42005</v>
      </c>
      <c r="L16" s="56">
        <v>42369</v>
      </c>
      <c r="M16" s="57"/>
      <c r="N16" s="57"/>
      <c r="O16" s="57"/>
      <c r="P16" s="57"/>
      <c r="Q16" s="57"/>
      <c r="R16" s="57"/>
      <c r="S16" s="57"/>
      <c r="T16" s="57"/>
      <c r="U16" s="257"/>
      <c r="V16" s="257"/>
      <c r="W16" s="257"/>
      <c r="X16" s="487">
        <v>1</v>
      </c>
      <c r="Y16" s="124">
        <v>1</v>
      </c>
      <c r="Z16" s="488">
        <v>0</v>
      </c>
      <c r="AA16" s="217" t="s">
        <v>1090</v>
      </c>
      <c r="AB16" s="1292">
        <f>SUM(M16:N16)</f>
        <v>0</v>
      </c>
      <c r="AC16" s="1311">
        <f>IF(AB16=0,0%,100%)</f>
        <v>0</v>
      </c>
      <c r="AD16" s="1509">
        <v>0</v>
      </c>
      <c r="AE16" s="1311" t="s">
        <v>1090</v>
      </c>
      <c r="AF16" s="1311">
        <f>AD16/Y16</f>
        <v>0</v>
      </c>
      <c r="AG16" s="1371">
        <f>AF16</f>
        <v>0</v>
      </c>
      <c r="AH16" s="1327"/>
      <c r="AI16" s="1327"/>
      <c r="AJ16" s="1327"/>
      <c r="AK16" s="1327" t="s">
        <v>1874</v>
      </c>
      <c r="AL16" s="1327"/>
      <c r="AM16" s="1692">
        <f>SUM(M16:P16)</f>
        <v>0</v>
      </c>
      <c r="AN16" s="1699">
        <f>IF(AM16=0,0%,100%)</f>
        <v>0</v>
      </c>
      <c r="AO16" s="1697">
        <v>0</v>
      </c>
      <c r="AP16" s="1726" t="s">
        <v>1090</v>
      </c>
      <c r="AQ16" s="1725">
        <f>AO16/Y16</f>
        <v>0</v>
      </c>
      <c r="AR16" s="1692" t="str">
        <f aca="true" t="shared" si="0" ref="AR16">IF(AN16&gt;0,AP16,"-")</f>
        <v>-</v>
      </c>
      <c r="AS16" s="1743">
        <v>0</v>
      </c>
      <c r="AT16" s="1699">
        <v>0</v>
      </c>
      <c r="AU16" s="1755" t="s">
        <v>2196</v>
      </c>
      <c r="AV16" s="1692"/>
      <c r="AW16" s="2200">
        <f>SUM(M16:R16)</f>
        <v>0</v>
      </c>
      <c r="AX16" s="2201">
        <f>IF(AW16=0,0%,100%)</f>
        <v>0</v>
      </c>
      <c r="AY16" s="2200" t="s">
        <v>1090</v>
      </c>
      <c r="AZ16" s="2201" t="s">
        <v>1090</v>
      </c>
      <c r="BA16" s="2201">
        <v>0</v>
      </c>
      <c r="BB16" s="2201">
        <v>0</v>
      </c>
      <c r="BC16" s="2306">
        <v>0</v>
      </c>
      <c r="BD16" s="2200" t="s">
        <v>1090</v>
      </c>
      <c r="BE16" s="2084" t="s">
        <v>2839</v>
      </c>
      <c r="BF16" s="101"/>
      <c r="BG16" s="2405">
        <f>SUM(M16:T16)</f>
        <v>0</v>
      </c>
      <c r="BH16" s="2406">
        <f>IF(BG16=0,0%,100%)</f>
        <v>0</v>
      </c>
      <c r="BI16" s="2405" t="s">
        <v>1090</v>
      </c>
      <c r="BJ16" s="2406" t="s">
        <v>1090</v>
      </c>
      <c r="BK16" s="2406"/>
      <c r="BL16" s="2406">
        <v>0</v>
      </c>
      <c r="BM16" s="2375"/>
      <c r="BN16" s="2405"/>
      <c r="BO16" s="2339" t="s">
        <v>2972</v>
      </c>
      <c r="BP16" s="2408"/>
    </row>
    <row r="17" spans="1:68" s="34" customFormat="1" ht="20.1" customHeight="1" thickBot="1">
      <c r="A17" s="2652" t="s">
        <v>130</v>
      </c>
      <c r="B17" s="2653"/>
      <c r="C17" s="2653"/>
      <c r="D17" s="2654"/>
      <c r="E17" s="465"/>
      <c r="F17" s="465"/>
      <c r="G17" s="465"/>
      <c r="H17" s="465"/>
      <c r="I17" s="157">
        <f>SUM(I8:I16)</f>
        <v>1</v>
      </c>
      <c r="J17" s="465"/>
      <c r="K17" s="465"/>
      <c r="L17" s="465"/>
      <c r="M17" s="465"/>
      <c r="N17" s="465"/>
      <c r="O17" s="465"/>
      <c r="P17" s="465"/>
      <c r="Q17" s="465"/>
      <c r="R17" s="465"/>
      <c r="S17" s="465"/>
      <c r="T17" s="465"/>
      <c r="U17" s="465"/>
      <c r="V17" s="465"/>
      <c r="W17" s="465"/>
      <c r="X17" s="465"/>
      <c r="Y17" s="465"/>
      <c r="Z17" s="489">
        <f>SUM(Z8:Z16)</f>
        <v>0</v>
      </c>
      <c r="AA17" s="466"/>
      <c r="AB17" s="1497"/>
      <c r="AC17" s="1498" t="s">
        <v>1090</v>
      </c>
      <c r="AD17" s="1512"/>
      <c r="AE17" s="1498" t="s">
        <v>1090</v>
      </c>
      <c r="AF17" s="1498"/>
      <c r="AG17" s="1557">
        <f>AVERAGE(AG16)</f>
        <v>0</v>
      </c>
      <c r="AH17" s="1325"/>
      <c r="AI17" s="1325"/>
      <c r="AJ17" s="1325"/>
      <c r="AK17" s="1325"/>
      <c r="AL17" s="1325"/>
      <c r="AM17" s="92"/>
      <c r="AN17" s="1875">
        <v>1</v>
      </c>
      <c r="AO17" s="92"/>
      <c r="AP17" s="1325" t="s">
        <v>1090</v>
      </c>
      <c r="AQ17" s="1325"/>
      <c r="AR17" s="1325" t="s">
        <v>1090</v>
      </c>
      <c r="AS17" s="92"/>
      <c r="AT17" s="92"/>
      <c r="AU17" s="92"/>
      <c r="AV17" s="92"/>
      <c r="AW17" s="2164"/>
      <c r="AX17" s="1878">
        <v>1</v>
      </c>
      <c r="AY17" s="2164"/>
      <c r="AZ17" s="2164" t="s">
        <v>1090</v>
      </c>
      <c r="BA17" s="2164"/>
      <c r="BB17" s="1879">
        <f>AVERAGE(BB16)</f>
        <v>0</v>
      </c>
      <c r="BC17" s="2164"/>
      <c r="BD17" s="1325"/>
      <c r="BE17" s="1325"/>
      <c r="BF17" s="1325"/>
      <c r="BG17" s="2331"/>
      <c r="BH17" s="1878">
        <v>1</v>
      </c>
      <c r="BI17" s="2331"/>
      <c r="BJ17" s="2331" t="s">
        <v>1090</v>
      </c>
      <c r="BK17" s="2331"/>
      <c r="BL17" s="1879">
        <v>0</v>
      </c>
      <c r="BM17" s="2331"/>
      <c r="BN17" s="1325"/>
      <c r="BO17" s="1325"/>
      <c r="BP17" s="1325"/>
    </row>
    <row r="18" spans="1:68" s="34" customFormat="1" ht="20.1" customHeight="1" thickBot="1">
      <c r="A18" s="2660" t="s">
        <v>290</v>
      </c>
      <c r="B18" s="2661"/>
      <c r="C18" s="2661"/>
      <c r="D18" s="2662"/>
      <c r="E18" s="467"/>
      <c r="F18" s="468"/>
      <c r="G18" s="468"/>
      <c r="H18" s="468"/>
      <c r="I18" s="468"/>
      <c r="J18" s="468"/>
      <c r="K18" s="468"/>
      <c r="L18" s="468"/>
      <c r="M18" s="468"/>
      <c r="N18" s="468"/>
      <c r="O18" s="468"/>
      <c r="P18" s="468"/>
      <c r="Q18" s="468"/>
      <c r="R18" s="468"/>
      <c r="S18" s="468"/>
      <c r="T18" s="468"/>
      <c r="U18" s="468"/>
      <c r="V18" s="468"/>
      <c r="W18" s="468"/>
      <c r="X18" s="468"/>
      <c r="Y18" s="468"/>
      <c r="Z18" s="161">
        <f>SUM(Z17)</f>
        <v>0</v>
      </c>
      <c r="AA18" s="162"/>
      <c r="AB18" s="1524"/>
      <c r="AC18" s="1525" t="s">
        <v>1090</v>
      </c>
      <c r="AD18" s="1526"/>
      <c r="AE18" s="1525" t="s">
        <v>1090</v>
      </c>
      <c r="AF18" s="1525"/>
      <c r="AG18" s="1546">
        <f>AVERAGE(AG17)</f>
        <v>0</v>
      </c>
      <c r="AH18" s="1329"/>
      <c r="AI18" s="1329"/>
      <c r="AJ18" s="1329"/>
      <c r="AK18" s="1329"/>
      <c r="AL18" s="1329"/>
      <c r="AM18" s="163"/>
      <c r="AN18" s="306">
        <f>AVERAGE(AN17)</f>
        <v>1</v>
      </c>
      <c r="AO18" s="163"/>
      <c r="AP18" s="1329" t="s">
        <v>1090</v>
      </c>
      <c r="AQ18" s="1329"/>
      <c r="AR18" s="1329" t="s">
        <v>1090</v>
      </c>
      <c r="AS18" s="163"/>
      <c r="AT18" s="163"/>
      <c r="AU18" s="163"/>
      <c r="AV18" s="163"/>
      <c r="AW18" s="2163"/>
      <c r="AX18" s="1342">
        <f>AVERAGE(AX17)</f>
        <v>1</v>
      </c>
      <c r="AY18" s="2163"/>
      <c r="AZ18" s="2163" t="s">
        <v>1090</v>
      </c>
      <c r="BA18" s="2163"/>
      <c r="BB18" s="1342">
        <f>AVERAGE(BB17)</f>
        <v>0</v>
      </c>
      <c r="BC18" s="2163"/>
      <c r="BD18" s="2163"/>
      <c r="BE18" s="1329"/>
      <c r="BF18" s="1329"/>
      <c r="BG18" s="2326"/>
      <c r="BH18" s="1342">
        <v>1</v>
      </c>
      <c r="BI18" s="2326"/>
      <c r="BJ18" s="2326" t="s">
        <v>1090</v>
      </c>
      <c r="BK18" s="2326"/>
      <c r="BL18" s="1342">
        <v>0</v>
      </c>
      <c r="BM18" s="2326"/>
      <c r="BN18" s="2326"/>
      <c r="BO18" s="1329"/>
      <c r="BP18" s="1329"/>
    </row>
    <row r="19" spans="2:38" s="13" customFormat="1" ht="9.95" customHeight="1" thickBot="1">
      <c r="B19" s="14"/>
      <c r="F19" s="243"/>
      <c r="I19" s="244"/>
      <c r="K19" s="245"/>
      <c r="L19" s="245"/>
      <c r="Y19" s="246"/>
      <c r="Z19" s="247"/>
      <c r="AB19" s="1294"/>
      <c r="AC19" s="1307"/>
      <c r="AD19" s="1506"/>
      <c r="AE19" s="1307"/>
      <c r="AF19" s="1307"/>
      <c r="AG19" s="1340"/>
      <c r="AH19" s="1340"/>
      <c r="AI19" s="1340"/>
      <c r="AJ19" s="1340"/>
      <c r="AK19" s="1340"/>
      <c r="AL19" s="1340"/>
    </row>
    <row r="20" spans="1:68" s="4" customFormat="1" ht="21" customHeight="1" thickBot="1">
      <c r="A20" s="2645" t="s">
        <v>9</v>
      </c>
      <c r="B20" s="2646"/>
      <c r="C20" s="2646"/>
      <c r="D20" s="2647"/>
      <c r="E20" s="2648" t="s">
        <v>292</v>
      </c>
      <c r="F20" s="2649"/>
      <c r="G20" s="2649"/>
      <c r="H20" s="2649"/>
      <c r="I20" s="2649"/>
      <c r="J20" s="2649"/>
      <c r="K20" s="2649"/>
      <c r="L20" s="2649"/>
      <c r="M20" s="2649"/>
      <c r="N20" s="2649"/>
      <c r="O20" s="2649"/>
      <c r="P20" s="2649"/>
      <c r="Q20" s="2649"/>
      <c r="R20" s="2649"/>
      <c r="S20" s="2649"/>
      <c r="T20" s="2649"/>
      <c r="U20" s="2649"/>
      <c r="V20" s="2649"/>
      <c r="W20" s="2649"/>
      <c r="X20" s="2649"/>
      <c r="Y20" s="2649"/>
      <c r="Z20" s="2649"/>
      <c r="AA20" s="2650"/>
      <c r="AB20" s="2648" t="s">
        <v>292</v>
      </c>
      <c r="AC20" s="2649"/>
      <c r="AD20" s="2649"/>
      <c r="AE20" s="2649"/>
      <c r="AF20" s="2649"/>
      <c r="AG20" s="2649"/>
      <c r="AH20" s="2649"/>
      <c r="AI20" s="2649"/>
      <c r="AJ20" s="2649"/>
      <c r="AK20" s="2649"/>
      <c r="AL20" s="2650"/>
      <c r="AM20" s="2648" t="s">
        <v>292</v>
      </c>
      <c r="AN20" s="2649"/>
      <c r="AO20" s="2649"/>
      <c r="AP20" s="2649"/>
      <c r="AQ20" s="2649"/>
      <c r="AR20" s="2649"/>
      <c r="AS20" s="2649"/>
      <c r="AT20" s="2649"/>
      <c r="AU20" s="2649"/>
      <c r="AV20" s="2650"/>
      <c r="AW20" s="2648" t="s">
        <v>292</v>
      </c>
      <c r="AX20" s="2649"/>
      <c r="AY20" s="2649"/>
      <c r="AZ20" s="2649"/>
      <c r="BA20" s="2649"/>
      <c r="BB20" s="2649"/>
      <c r="BC20" s="2649"/>
      <c r="BD20" s="2649"/>
      <c r="BE20" s="2649"/>
      <c r="BF20" s="2650"/>
      <c r="BG20" s="2648" t="s">
        <v>292</v>
      </c>
      <c r="BH20" s="2649"/>
      <c r="BI20" s="2649"/>
      <c r="BJ20" s="2649"/>
      <c r="BK20" s="2649"/>
      <c r="BL20" s="2649"/>
      <c r="BM20" s="2649"/>
      <c r="BN20" s="2649"/>
      <c r="BO20" s="2649"/>
      <c r="BP20" s="2650"/>
    </row>
    <row r="21" spans="2:38" s="13" customFormat="1" ht="9.95" customHeight="1" thickBot="1">
      <c r="B21" s="14"/>
      <c r="F21" s="243"/>
      <c r="I21" s="244"/>
      <c r="K21" s="245"/>
      <c r="L21" s="245"/>
      <c r="Y21" s="246"/>
      <c r="Z21" s="247"/>
      <c r="AB21" s="1294"/>
      <c r="AC21" s="1307"/>
      <c r="AD21" s="1506"/>
      <c r="AE21" s="1307"/>
      <c r="AF21" s="1307"/>
      <c r="AG21" s="1340"/>
      <c r="AH21" s="1340"/>
      <c r="AI21" s="1340"/>
      <c r="AJ21" s="1340"/>
      <c r="AK21" s="1340"/>
      <c r="AL21" s="1340"/>
    </row>
    <row r="22" spans="1:68" s="35" customFormat="1" ht="39" thickBot="1">
      <c r="A22" s="22" t="s">
        <v>11</v>
      </c>
      <c r="B22" s="23" t="s">
        <v>12</v>
      </c>
      <c r="C22" s="22" t="s">
        <v>13</v>
      </c>
      <c r="D22" s="249" t="s">
        <v>14</v>
      </c>
      <c r="E22" s="24" t="s">
        <v>15</v>
      </c>
      <c r="F22" s="25" t="s">
        <v>16</v>
      </c>
      <c r="G22" s="26" t="s">
        <v>17</v>
      </c>
      <c r="H22" s="26" t="s">
        <v>18</v>
      </c>
      <c r="I22" s="27" t="s">
        <v>19</v>
      </c>
      <c r="J22" s="26" t="s">
        <v>20</v>
      </c>
      <c r="K22" s="26" t="s">
        <v>21</v>
      </c>
      <c r="L22" s="26" t="s">
        <v>22</v>
      </c>
      <c r="M22" s="28" t="s">
        <v>23</v>
      </c>
      <c r="N22" s="28" t="s">
        <v>24</v>
      </c>
      <c r="O22" s="28" t="s">
        <v>25</v>
      </c>
      <c r="P22" s="28" t="s">
        <v>26</v>
      </c>
      <c r="Q22" s="28" t="s">
        <v>27</v>
      </c>
      <c r="R22" s="28" t="s">
        <v>28</v>
      </c>
      <c r="S22" s="28" t="s">
        <v>29</v>
      </c>
      <c r="T22" s="28" t="s">
        <v>30</v>
      </c>
      <c r="U22" s="28" t="s">
        <v>31</v>
      </c>
      <c r="V22" s="28" t="s">
        <v>32</v>
      </c>
      <c r="W22" s="28" t="s">
        <v>33</v>
      </c>
      <c r="X22" s="28" t="s">
        <v>34</v>
      </c>
      <c r="Y22" s="29" t="s">
        <v>35</v>
      </c>
      <c r="Z22" s="26" t="s">
        <v>36</v>
      </c>
      <c r="AA22" s="31" t="s">
        <v>37</v>
      </c>
      <c r="AB22" s="1296" t="s">
        <v>38</v>
      </c>
      <c r="AC22" s="1613" t="s">
        <v>1781</v>
      </c>
      <c r="AD22" s="1508" t="s">
        <v>39</v>
      </c>
      <c r="AE22" s="1614" t="s">
        <v>1821</v>
      </c>
      <c r="AF22" s="1614" t="s">
        <v>1822</v>
      </c>
      <c r="AG22" s="1613" t="s">
        <v>1783</v>
      </c>
      <c r="AH22" s="1322" t="s">
        <v>40</v>
      </c>
      <c r="AI22" s="1322" t="s">
        <v>41</v>
      </c>
      <c r="AJ22" s="1322" t="s">
        <v>42</v>
      </c>
      <c r="AK22" s="1322" t="s">
        <v>43</v>
      </c>
      <c r="AL22" s="1322" t="s">
        <v>44</v>
      </c>
      <c r="AM22" s="33" t="s">
        <v>45</v>
      </c>
      <c r="AN22" s="33" t="s">
        <v>1781</v>
      </c>
      <c r="AO22" s="33" t="s">
        <v>46</v>
      </c>
      <c r="AP22" s="33" t="s">
        <v>1821</v>
      </c>
      <c r="AQ22" s="33" t="s">
        <v>1822</v>
      </c>
      <c r="AR22" s="33" t="s">
        <v>1783</v>
      </c>
      <c r="AS22" s="33" t="s">
        <v>41</v>
      </c>
      <c r="AT22" s="33" t="s">
        <v>42</v>
      </c>
      <c r="AU22" s="33" t="s">
        <v>43</v>
      </c>
      <c r="AV22" s="33" t="s">
        <v>44</v>
      </c>
      <c r="AW22" s="1983" t="s">
        <v>47</v>
      </c>
      <c r="AX22" s="1983" t="s">
        <v>1781</v>
      </c>
      <c r="AY22" s="1983" t="s">
        <v>48</v>
      </c>
      <c r="AZ22" s="1983" t="s">
        <v>2453</v>
      </c>
      <c r="BA22" s="1983" t="s">
        <v>1822</v>
      </c>
      <c r="BB22" s="1983" t="s">
        <v>2489</v>
      </c>
      <c r="BC22" s="1983" t="s">
        <v>41</v>
      </c>
      <c r="BD22" s="1983" t="s">
        <v>42</v>
      </c>
      <c r="BE22" s="1983" t="s">
        <v>43</v>
      </c>
      <c r="BF22" s="1983" t="s">
        <v>44</v>
      </c>
      <c r="BG22" s="2364" t="s">
        <v>49</v>
      </c>
      <c r="BH22" s="2364" t="s">
        <v>1781</v>
      </c>
      <c r="BI22" s="2364" t="s">
        <v>50</v>
      </c>
      <c r="BJ22" s="2364" t="s">
        <v>2946</v>
      </c>
      <c r="BK22" s="2364" t="s">
        <v>1822</v>
      </c>
      <c r="BL22" s="2364" t="s">
        <v>2858</v>
      </c>
      <c r="BM22" s="2364" t="s">
        <v>41</v>
      </c>
      <c r="BN22" s="2364" t="s">
        <v>42</v>
      </c>
      <c r="BO22" s="2364" t="s">
        <v>43</v>
      </c>
      <c r="BP22" s="2364" t="s">
        <v>44</v>
      </c>
    </row>
    <row r="23" spans="1:68" s="49" customFormat="1" ht="213.75" customHeight="1" thickBot="1">
      <c r="A23" s="2658">
        <v>1</v>
      </c>
      <c r="B23" s="2658" t="s">
        <v>762</v>
      </c>
      <c r="C23" s="183" t="s">
        <v>763</v>
      </c>
      <c r="D23" s="94" t="s">
        <v>764</v>
      </c>
      <c r="E23" s="65" t="s">
        <v>765</v>
      </c>
      <c r="F23" s="65" t="s">
        <v>506</v>
      </c>
      <c r="G23" s="65" t="s">
        <v>766</v>
      </c>
      <c r="H23" s="65" t="s">
        <v>767</v>
      </c>
      <c r="I23" s="251">
        <v>0.2</v>
      </c>
      <c r="J23" s="65" t="s">
        <v>768</v>
      </c>
      <c r="K23" s="117">
        <v>42005</v>
      </c>
      <c r="L23" s="117">
        <v>42369</v>
      </c>
      <c r="M23" s="114"/>
      <c r="N23" s="114"/>
      <c r="O23" s="114"/>
      <c r="P23" s="114"/>
      <c r="Q23" s="114"/>
      <c r="R23" s="115"/>
      <c r="S23" s="115"/>
      <c r="T23" s="114"/>
      <c r="U23" s="115"/>
      <c r="V23" s="115"/>
      <c r="W23" s="115"/>
      <c r="X23" s="115"/>
      <c r="Y23" s="65" t="s">
        <v>506</v>
      </c>
      <c r="Z23" s="75">
        <v>0</v>
      </c>
      <c r="AA23" s="217" t="s">
        <v>1090</v>
      </c>
      <c r="AB23" s="1292">
        <f aca="true" t="shared" si="1" ref="AB23:AB27">SUM(M23:N23)</f>
        <v>0</v>
      </c>
      <c r="AC23" s="1311">
        <f>IF(AB23=0,0%,100%)</f>
        <v>0</v>
      </c>
      <c r="AD23" s="1509" t="s">
        <v>1090</v>
      </c>
      <c r="AE23" s="1311" t="s">
        <v>1090</v>
      </c>
      <c r="AF23" s="1311" t="s">
        <v>1090</v>
      </c>
      <c r="AG23" s="1371" t="str">
        <f>AF23</f>
        <v>-</v>
      </c>
      <c r="AH23" s="1327"/>
      <c r="AI23" s="1326"/>
      <c r="AJ23" s="1327"/>
      <c r="AK23" s="1326" t="s">
        <v>1875</v>
      </c>
      <c r="AL23" s="1326"/>
      <c r="AM23" s="1692">
        <f>SUM(M23:P23)</f>
        <v>0</v>
      </c>
      <c r="AN23" s="1699">
        <f>IF(AM23=0,0%,100%)</f>
        <v>0</v>
      </c>
      <c r="AO23" s="1697">
        <v>0</v>
      </c>
      <c r="AP23" s="1726" t="s">
        <v>1090</v>
      </c>
      <c r="AQ23" s="1726" t="s">
        <v>1090</v>
      </c>
      <c r="AR23" s="1692" t="str">
        <f aca="true" t="shared" si="2" ref="AR23:AR36">IF(AN23&gt;0,AP23,"-")</f>
        <v>-</v>
      </c>
      <c r="AS23" s="1743">
        <v>0</v>
      </c>
      <c r="AT23" s="1699">
        <v>0</v>
      </c>
      <c r="AU23" s="1692" t="s">
        <v>2197</v>
      </c>
      <c r="AV23" s="1692"/>
      <c r="AW23" s="2200">
        <f>SUM(M23:R23)</f>
        <v>0</v>
      </c>
      <c r="AX23" s="2201">
        <f>IF(AW23=0,0%,100%)</f>
        <v>0</v>
      </c>
      <c r="AY23" s="2200" t="s">
        <v>1090</v>
      </c>
      <c r="AZ23" s="2201" t="s">
        <v>1090</v>
      </c>
      <c r="BA23" s="2201" t="s">
        <v>1090</v>
      </c>
      <c r="BB23" s="2201" t="s">
        <v>1090</v>
      </c>
      <c r="BC23" s="2306">
        <v>0</v>
      </c>
      <c r="BD23" s="101" t="s">
        <v>1090</v>
      </c>
      <c r="BE23" s="2084" t="s">
        <v>2840</v>
      </c>
      <c r="BF23" s="101"/>
      <c r="BG23" s="2405" t="s">
        <v>1090</v>
      </c>
      <c r="BH23" s="2406">
        <f>IF(BG23=0,0%,100%)</f>
        <v>1</v>
      </c>
      <c r="BI23" s="2405" t="s">
        <v>1090</v>
      </c>
      <c r="BJ23" s="2406" t="s">
        <v>1090</v>
      </c>
      <c r="BK23" s="2406"/>
      <c r="BL23" s="2406" t="s">
        <v>1090</v>
      </c>
      <c r="BM23" s="2375"/>
      <c r="BN23" s="2408"/>
      <c r="BO23" s="2339" t="s">
        <v>2973</v>
      </c>
      <c r="BP23" s="2408"/>
    </row>
    <row r="24" spans="1:68" s="49" customFormat="1" ht="117.75" customHeight="1" thickBot="1">
      <c r="A24" s="2655"/>
      <c r="B24" s="2655"/>
      <c r="C24" s="183" t="s">
        <v>769</v>
      </c>
      <c r="D24" s="50" t="s">
        <v>770</v>
      </c>
      <c r="E24" s="64" t="s">
        <v>771</v>
      </c>
      <c r="F24" s="64" t="s">
        <v>100</v>
      </c>
      <c r="G24" s="64" t="s">
        <v>772</v>
      </c>
      <c r="H24" s="65" t="s">
        <v>767</v>
      </c>
      <c r="I24" s="251">
        <v>0.2</v>
      </c>
      <c r="J24" s="65" t="s">
        <v>773</v>
      </c>
      <c r="K24" s="67">
        <v>42005</v>
      </c>
      <c r="L24" s="68">
        <v>42369</v>
      </c>
      <c r="M24" s="69"/>
      <c r="N24" s="70"/>
      <c r="O24" s="70"/>
      <c r="P24" s="70"/>
      <c r="Q24" s="70"/>
      <c r="R24" s="70"/>
      <c r="S24" s="70"/>
      <c r="T24" s="71"/>
      <c r="U24" s="72"/>
      <c r="V24" s="73"/>
      <c r="W24" s="73"/>
      <c r="X24" s="73"/>
      <c r="Y24" s="65" t="s">
        <v>506</v>
      </c>
      <c r="Z24" s="75">
        <v>0</v>
      </c>
      <c r="AA24" s="217" t="s">
        <v>1090</v>
      </c>
      <c r="AB24" s="1292">
        <f t="shared" si="1"/>
        <v>0</v>
      </c>
      <c r="AC24" s="1311">
        <f aca="true" t="shared" si="3" ref="AC24:AC36">IF(AB24=0,0%,100%)</f>
        <v>0</v>
      </c>
      <c r="AD24" s="1509" t="s">
        <v>1090</v>
      </c>
      <c r="AE24" s="1311" t="s">
        <v>1090</v>
      </c>
      <c r="AF24" s="1311" t="s">
        <v>1090</v>
      </c>
      <c r="AG24" s="1371" t="str">
        <f aca="true" t="shared" si="4" ref="AG24:AG27">AF24</f>
        <v>-</v>
      </c>
      <c r="AH24" s="1327"/>
      <c r="AI24" s="1326"/>
      <c r="AJ24" s="1327"/>
      <c r="AK24" s="1326" t="s">
        <v>1876</v>
      </c>
      <c r="AL24" s="1326"/>
      <c r="AM24" s="1692">
        <f aca="true" t="shared" si="5" ref="AM24:AM27">SUM(M24:P24)</f>
        <v>0</v>
      </c>
      <c r="AN24" s="1699">
        <f aca="true" t="shared" si="6" ref="AN24:AN36">IF(AM24=0,0%,100%)</f>
        <v>0</v>
      </c>
      <c r="AO24" s="1697">
        <v>0</v>
      </c>
      <c r="AP24" s="1726" t="s">
        <v>1090</v>
      </c>
      <c r="AQ24" s="1726" t="s">
        <v>1090</v>
      </c>
      <c r="AR24" s="1692" t="str">
        <f t="shared" si="2"/>
        <v>-</v>
      </c>
      <c r="AS24" s="1743">
        <v>0</v>
      </c>
      <c r="AT24" s="1699">
        <v>0</v>
      </c>
      <c r="AU24" s="1692" t="s">
        <v>2198</v>
      </c>
      <c r="AV24" s="1692"/>
      <c r="AW24" s="2200">
        <f aca="true" t="shared" si="7" ref="AW24:AW36">SUM(M24:R24)</f>
        <v>0</v>
      </c>
      <c r="AX24" s="2201">
        <f aca="true" t="shared" si="8" ref="AX24:AX36">IF(AW24=0,0%,100%)</f>
        <v>0</v>
      </c>
      <c r="AY24" s="2200" t="s">
        <v>1090</v>
      </c>
      <c r="AZ24" s="2201" t="s">
        <v>1090</v>
      </c>
      <c r="BA24" s="2201" t="s">
        <v>1090</v>
      </c>
      <c r="BB24" s="2201" t="s">
        <v>1090</v>
      </c>
      <c r="BC24" s="2306">
        <v>0</v>
      </c>
      <c r="BD24" s="101" t="s">
        <v>1090</v>
      </c>
      <c r="BE24" s="2084" t="s">
        <v>2841</v>
      </c>
      <c r="BF24" s="101"/>
      <c r="BG24" s="2405" t="s">
        <v>1090</v>
      </c>
      <c r="BH24" s="2406">
        <f aca="true" t="shared" si="9" ref="BH24:BH36">IF(BG24=0,0%,100%)</f>
        <v>1</v>
      </c>
      <c r="BI24" s="2405" t="s">
        <v>1090</v>
      </c>
      <c r="BJ24" s="2406" t="s">
        <v>1090</v>
      </c>
      <c r="BK24" s="2406"/>
      <c r="BL24" s="2406" t="s">
        <v>1090</v>
      </c>
      <c r="BM24" s="2375"/>
      <c r="BN24" s="2408"/>
      <c r="BO24" s="2339" t="s">
        <v>2974</v>
      </c>
      <c r="BP24" s="2408"/>
    </row>
    <row r="25" spans="1:68" s="49" customFormat="1" ht="201.75" customHeight="1" thickBot="1">
      <c r="A25" s="2655"/>
      <c r="B25" s="2655"/>
      <c r="C25" s="183" t="s">
        <v>774</v>
      </c>
      <c r="D25" s="82" t="s">
        <v>775</v>
      </c>
      <c r="E25" s="77" t="s">
        <v>72</v>
      </c>
      <c r="F25" s="77">
        <v>1</v>
      </c>
      <c r="G25" s="77" t="s">
        <v>73</v>
      </c>
      <c r="H25" s="65" t="s">
        <v>767</v>
      </c>
      <c r="I25" s="251">
        <v>0.2</v>
      </c>
      <c r="J25" s="65" t="s">
        <v>776</v>
      </c>
      <c r="K25" s="67">
        <v>42005</v>
      </c>
      <c r="L25" s="68">
        <v>42185</v>
      </c>
      <c r="M25" s="80"/>
      <c r="N25" s="80"/>
      <c r="O25" s="80"/>
      <c r="P25" s="80"/>
      <c r="Q25" s="80"/>
      <c r="R25" s="80">
        <v>0.5</v>
      </c>
      <c r="S25" s="80"/>
      <c r="T25" s="80">
        <v>0.5</v>
      </c>
      <c r="U25" s="81"/>
      <c r="V25" s="81"/>
      <c r="W25" s="81"/>
      <c r="X25" s="81"/>
      <c r="Y25" s="74">
        <f>SUM(M25:X25)</f>
        <v>1</v>
      </c>
      <c r="Z25" s="75">
        <v>0</v>
      </c>
      <c r="AA25" s="217" t="s">
        <v>1090</v>
      </c>
      <c r="AB25" s="1292">
        <f t="shared" si="1"/>
        <v>0</v>
      </c>
      <c r="AC25" s="1311">
        <f t="shared" si="3"/>
        <v>0</v>
      </c>
      <c r="AD25" s="1509">
        <v>0</v>
      </c>
      <c r="AE25" s="1311" t="s">
        <v>1090</v>
      </c>
      <c r="AF25" s="1311">
        <f aca="true" t="shared" si="10" ref="AF25">AD25/Y25</f>
        <v>0</v>
      </c>
      <c r="AG25" s="1371">
        <f t="shared" si="4"/>
        <v>0</v>
      </c>
      <c r="AH25" s="1327"/>
      <c r="AI25" s="1326"/>
      <c r="AJ25" s="1327"/>
      <c r="AK25" s="1326" t="s">
        <v>1877</v>
      </c>
      <c r="AL25" s="1326"/>
      <c r="AM25" s="1692">
        <f t="shared" si="5"/>
        <v>0</v>
      </c>
      <c r="AN25" s="1699">
        <f t="shared" si="6"/>
        <v>0</v>
      </c>
      <c r="AO25" s="1697">
        <v>0</v>
      </c>
      <c r="AP25" s="1726" t="s">
        <v>1090</v>
      </c>
      <c r="AQ25" s="1726">
        <f aca="true" t="shared" si="11" ref="AQ25">AO25/Y25</f>
        <v>0</v>
      </c>
      <c r="AR25" s="1692" t="str">
        <f t="shared" si="2"/>
        <v>-</v>
      </c>
      <c r="AS25" s="1743">
        <v>0</v>
      </c>
      <c r="AT25" s="1699">
        <v>0</v>
      </c>
      <c r="AU25" s="1692" t="s">
        <v>2199</v>
      </c>
      <c r="AV25" s="1692"/>
      <c r="AW25" s="2200">
        <v>1</v>
      </c>
      <c r="AX25" s="2201">
        <f t="shared" si="8"/>
        <v>1</v>
      </c>
      <c r="AY25" s="2200">
        <v>0.5</v>
      </c>
      <c r="AZ25" s="2201">
        <v>0.5</v>
      </c>
      <c r="BA25" s="2201">
        <v>0</v>
      </c>
      <c r="BB25" s="2201">
        <v>0.5</v>
      </c>
      <c r="BC25" s="2306">
        <v>0</v>
      </c>
      <c r="BD25" s="101" t="s">
        <v>1090</v>
      </c>
      <c r="BE25" s="2084" t="s">
        <v>2842</v>
      </c>
      <c r="BF25" s="101"/>
      <c r="BG25" s="2405">
        <f>SUM(M25:T25)</f>
        <v>1</v>
      </c>
      <c r="BH25" s="2406">
        <f t="shared" si="9"/>
        <v>1</v>
      </c>
      <c r="BI25" s="2405">
        <v>1</v>
      </c>
      <c r="BJ25" s="2406">
        <v>1</v>
      </c>
      <c r="BK25" s="2406"/>
      <c r="BL25" s="2406">
        <v>1</v>
      </c>
      <c r="BM25" s="2375"/>
      <c r="BN25" s="2408"/>
      <c r="BO25" s="2339" t="s">
        <v>2975</v>
      </c>
      <c r="BP25" s="2408"/>
    </row>
    <row r="26" spans="1:68" s="49" customFormat="1" ht="133.5" customHeight="1" thickBot="1">
      <c r="A26" s="2655"/>
      <c r="B26" s="2655"/>
      <c r="C26" s="2656" t="s">
        <v>777</v>
      </c>
      <c r="D26" s="378" t="s">
        <v>778</v>
      </c>
      <c r="E26" s="379" t="s">
        <v>779</v>
      </c>
      <c r="F26" s="380" t="s">
        <v>100</v>
      </c>
      <c r="G26" s="77" t="s">
        <v>780</v>
      </c>
      <c r="H26" s="65" t="s">
        <v>767</v>
      </c>
      <c r="I26" s="251">
        <v>0.2</v>
      </c>
      <c r="J26" s="65" t="s">
        <v>781</v>
      </c>
      <c r="K26" s="67">
        <v>42005</v>
      </c>
      <c r="L26" s="145">
        <v>42035</v>
      </c>
      <c r="M26" s="146"/>
      <c r="N26" s="146"/>
      <c r="O26" s="146"/>
      <c r="P26" s="146"/>
      <c r="Q26" s="146"/>
      <c r="R26" s="146"/>
      <c r="S26" s="146"/>
      <c r="T26" s="146"/>
      <c r="U26" s="147"/>
      <c r="V26" s="147"/>
      <c r="W26" s="147"/>
      <c r="X26" s="147"/>
      <c r="Y26" s="65" t="s">
        <v>506</v>
      </c>
      <c r="Z26" s="75">
        <v>0</v>
      </c>
      <c r="AA26" s="217" t="s">
        <v>1090</v>
      </c>
      <c r="AB26" s="1292">
        <f t="shared" si="1"/>
        <v>0</v>
      </c>
      <c r="AC26" s="1311">
        <f t="shared" si="3"/>
        <v>0</v>
      </c>
      <c r="AD26" s="1509" t="s">
        <v>1090</v>
      </c>
      <c r="AE26" s="1311" t="s">
        <v>1090</v>
      </c>
      <c r="AF26" s="1311" t="s">
        <v>1090</v>
      </c>
      <c r="AG26" s="1371" t="str">
        <f t="shared" si="4"/>
        <v>-</v>
      </c>
      <c r="AH26" s="1327"/>
      <c r="AI26" s="1326"/>
      <c r="AJ26" s="1327"/>
      <c r="AK26" s="1326" t="s">
        <v>1878</v>
      </c>
      <c r="AL26" s="1326" t="s">
        <v>1879</v>
      </c>
      <c r="AM26" s="1692">
        <f t="shared" si="5"/>
        <v>0</v>
      </c>
      <c r="AN26" s="1699">
        <f t="shared" si="6"/>
        <v>0</v>
      </c>
      <c r="AO26" s="1697">
        <v>0</v>
      </c>
      <c r="AP26" s="1726" t="s">
        <v>1090</v>
      </c>
      <c r="AQ26" s="1726" t="s">
        <v>1090</v>
      </c>
      <c r="AR26" s="1692" t="str">
        <f t="shared" si="2"/>
        <v>-</v>
      </c>
      <c r="AS26" s="1743">
        <v>0</v>
      </c>
      <c r="AT26" s="1699">
        <v>0</v>
      </c>
      <c r="AU26" s="1692" t="s">
        <v>2200</v>
      </c>
      <c r="AV26" s="1692"/>
      <c r="AW26" s="2200">
        <f t="shared" si="7"/>
        <v>0</v>
      </c>
      <c r="AX26" s="2201">
        <f t="shared" si="8"/>
        <v>0</v>
      </c>
      <c r="AY26" s="2200" t="s">
        <v>1090</v>
      </c>
      <c r="AZ26" s="2201" t="s">
        <v>1090</v>
      </c>
      <c r="BA26" s="2201" t="s">
        <v>1090</v>
      </c>
      <c r="BB26" s="2201" t="s">
        <v>1090</v>
      </c>
      <c r="BC26" s="2306">
        <v>0</v>
      </c>
      <c r="BD26" s="101" t="s">
        <v>1090</v>
      </c>
      <c r="BE26" s="2084" t="s">
        <v>2843</v>
      </c>
      <c r="BF26" s="101"/>
      <c r="BG26" s="2405" t="s">
        <v>1090</v>
      </c>
      <c r="BH26" s="2406">
        <f t="shared" si="9"/>
        <v>1</v>
      </c>
      <c r="BI26" s="2405" t="s">
        <v>1090</v>
      </c>
      <c r="BJ26" s="2406" t="s">
        <v>1090</v>
      </c>
      <c r="BK26" s="2406"/>
      <c r="BL26" s="2406" t="s">
        <v>1090</v>
      </c>
      <c r="BM26" s="2375"/>
      <c r="BN26" s="2408"/>
      <c r="BO26" s="2339" t="s">
        <v>2976</v>
      </c>
      <c r="BP26" s="2408" t="s">
        <v>2977</v>
      </c>
    </row>
    <row r="27" spans="1:68" s="49" customFormat="1" ht="93.75" customHeight="1" thickBot="1">
      <c r="A27" s="2659"/>
      <c r="B27" s="2659"/>
      <c r="C27" s="2664"/>
      <c r="D27" s="381" t="s">
        <v>782</v>
      </c>
      <c r="E27" s="382" t="s">
        <v>783</v>
      </c>
      <c r="F27" s="382" t="s">
        <v>100</v>
      </c>
      <c r="G27" s="382" t="s">
        <v>784</v>
      </c>
      <c r="H27" s="134" t="s">
        <v>767</v>
      </c>
      <c r="I27" s="383">
        <v>0.2</v>
      </c>
      <c r="J27" s="134" t="s">
        <v>785</v>
      </c>
      <c r="K27" s="117">
        <v>42005</v>
      </c>
      <c r="L27" s="384">
        <v>42369</v>
      </c>
      <c r="M27" s="146"/>
      <c r="N27" s="156"/>
      <c r="O27" s="156"/>
      <c r="P27" s="156"/>
      <c r="Q27" s="156"/>
      <c r="R27" s="156"/>
      <c r="S27" s="156"/>
      <c r="T27" s="345"/>
      <c r="U27" s="346"/>
      <c r="V27" s="138"/>
      <c r="W27" s="138"/>
      <c r="X27" s="138"/>
      <c r="Y27" s="134" t="s">
        <v>506</v>
      </c>
      <c r="Z27" s="140">
        <v>0</v>
      </c>
      <c r="AA27" s="217" t="s">
        <v>1090</v>
      </c>
      <c r="AB27" s="1292">
        <f t="shared" si="1"/>
        <v>0</v>
      </c>
      <c r="AC27" s="1311">
        <f t="shared" si="3"/>
        <v>0</v>
      </c>
      <c r="AD27" s="1509" t="s">
        <v>1090</v>
      </c>
      <c r="AE27" s="1311" t="s">
        <v>1090</v>
      </c>
      <c r="AF27" s="1311" t="s">
        <v>1090</v>
      </c>
      <c r="AG27" s="1371" t="str">
        <f t="shared" si="4"/>
        <v>-</v>
      </c>
      <c r="AH27" s="1327"/>
      <c r="AI27" s="1326"/>
      <c r="AJ27" s="1327"/>
      <c r="AK27" s="1326" t="s">
        <v>1880</v>
      </c>
      <c r="AL27" s="1326"/>
      <c r="AM27" s="1692">
        <f t="shared" si="5"/>
        <v>0</v>
      </c>
      <c r="AN27" s="1699">
        <f t="shared" si="6"/>
        <v>0</v>
      </c>
      <c r="AO27" s="1697">
        <v>0</v>
      </c>
      <c r="AP27" s="1726" t="s">
        <v>1090</v>
      </c>
      <c r="AQ27" s="1726" t="s">
        <v>1090</v>
      </c>
      <c r="AR27" s="1692" t="str">
        <f t="shared" si="2"/>
        <v>-</v>
      </c>
      <c r="AS27" s="1743">
        <v>0</v>
      </c>
      <c r="AT27" s="1699">
        <v>0</v>
      </c>
      <c r="AU27" s="1692" t="s">
        <v>2201</v>
      </c>
      <c r="AV27" s="1692"/>
      <c r="AW27" s="2200">
        <f t="shared" si="7"/>
        <v>0</v>
      </c>
      <c r="AX27" s="2201">
        <f t="shared" si="8"/>
        <v>0</v>
      </c>
      <c r="AY27" s="2200" t="s">
        <v>1090</v>
      </c>
      <c r="AZ27" s="2201" t="s">
        <v>1090</v>
      </c>
      <c r="BA27" s="2201" t="s">
        <v>1090</v>
      </c>
      <c r="BB27" s="2201" t="s">
        <v>1090</v>
      </c>
      <c r="BC27" s="2306">
        <v>0</v>
      </c>
      <c r="BD27" s="101" t="s">
        <v>1090</v>
      </c>
      <c r="BE27" s="2084" t="s">
        <v>2201</v>
      </c>
      <c r="BF27" s="101"/>
      <c r="BG27" s="2405" t="s">
        <v>1090</v>
      </c>
      <c r="BH27" s="2406">
        <f t="shared" si="9"/>
        <v>1</v>
      </c>
      <c r="BI27" s="2405" t="s">
        <v>1090</v>
      </c>
      <c r="BJ27" s="2406" t="s">
        <v>1090</v>
      </c>
      <c r="BK27" s="2406"/>
      <c r="BL27" s="2406" t="s">
        <v>1090</v>
      </c>
      <c r="BM27" s="2375"/>
      <c r="BN27" s="2408"/>
      <c r="BO27" s="2339" t="s">
        <v>2978</v>
      </c>
      <c r="BP27" s="2408"/>
    </row>
    <row r="28" spans="1:68" s="34" customFormat="1" ht="20.1" customHeight="1" thickBot="1">
      <c r="A28" s="2652" t="s">
        <v>130</v>
      </c>
      <c r="B28" s="2653"/>
      <c r="C28" s="2653"/>
      <c r="D28" s="2654"/>
      <c r="E28" s="178"/>
      <c r="F28" s="179"/>
      <c r="G28" s="179"/>
      <c r="H28" s="179"/>
      <c r="I28" s="86">
        <f>+SUM(I23:I27)</f>
        <v>1</v>
      </c>
      <c r="J28" s="179"/>
      <c r="K28" s="179"/>
      <c r="L28" s="179"/>
      <c r="M28" s="179"/>
      <c r="N28" s="179"/>
      <c r="O28" s="179"/>
      <c r="P28" s="179"/>
      <c r="Q28" s="179"/>
      <c r="R28" s="179"/>
      <c r="S28" s="179"/>
      <c r="T28" s="179"/>
      <c r="U28" s="179"/>
      <c r="V28" s="179"/>
      <c r="W28" s="179"/>
      <c r="X28" s="179"/>
      <c r="Y28" s="87"/>
      <c r="Z28" s="88">
        <f>SUM(Z23:Z27)</f>
        <v>0</v>
      </c>
      <c r="AA28" s="180"/>
      <c r="AB28" s="1298"/>
      <c r="AC28" s="1504" t="s">
        <v>1090</v>
      </c>
      <c r="AD28" s="1511"/>
      <c r="AE28" s="1494" t="s">
        <v>1090</v>
      </c>
      <c r="AF28" s="1494"/>
      <c r="AG28" s="1496">
        <f>AVERAGE(AG23:AG27)</f>
        <v>0</v>
      </c>
      <c r="AH28" s="1324"/>
      <c r="AI28" s="1324"/>
      <c r="AJ28" s="1324"/>
      <c r="AK28" s="1324"/>
      <c r="AL28" s="1324"/>
      <c r="AM28" s="92"/>
      <c r="AN28" s="1875">
        <v>1</v>
      </c>
      <c r="AO28" s="92"/>
      <c r="AP28" s="1325" t="s">
        <v>1090</v>
      </c>
      <c r="AQ28" s="1325"/>
      <c r="AR28" s="1325" t="s">
        <v>1090</v>
      </c>
      <c r="AS28" s="92"/>
      <c r="AT28" s="92"/>
      <c r="AU28" s="92"/>
      <c r="AV28" s="92"/>
      <c r="AW28" s="2164"/>
      <c r="AX28" s="1878">
        <v>1</v>
      </c>
      <c r="AY28" s="2164"/>
      <c r="AZ28" s="1879">
        <f>AVERAGE(AZ23:AZ27)</f>
        <v>0.5</v>
      </c>
      <c r="BA28" s="2164"/>
      <c r="BB28" s="1878">
        <f>AVERAGE(BB23:BB27)</f>
        <v>0.5</v>
      </c>
      <c r="BC28" s="2164"/>
      <c r="BD28" s="2164"/>
      <c r="BE28" s="1325"/>
      <c r="BF28" s="1325"/>
      <c r="BG28" s="2331"/>
      <c r="BH28" s="1878">
        <v>1</v>
      </c>
      <c r="BI28" s="2331"/>
      <c r="BJ28" s="1879">
        <f>AVERAGE(BJ23:BJ27)</f>
        <v>1</v>
      </c>
      <c r="BK28" s="2331"/>
      <c r="BL28" s="1878">
        <f>AVERAGE(BL23:BL27)</f>
        <v>1</v>
      </c>
      <c r="BM28" s="2331"/>
      <c r="BN28" s="2331"/>
      <c r="BO28" s="1325"/>
      <c r="BP28" s="1325"/>
    </row>
    <row r="29" spans="1:68" s="49" customFormat="1" ht="142.5" customHeight="1" thickBot="1">
      <c r="A29" s="2671">
        <v>2</v>
      </c>
      <c r="B29" s="2671" t="s">
        <v>131</v>
      </c>
      <c r="C29" s="2656" t="s">
        <v>503</v>
      </c>
      <c r="D29" s="213" t="s">
        <v>504</v>
      </c>
      <c r="E29" s="38" t="s">
        <v>72</v>
      </c>
      <c r="F29" s="111" t="s">
        <v>505</v>
      </c>
      <c r="G29" s="208" t="s">
        <v>73</v>
      </c>
      <c r="H29" s="65" t="s">
        <v>767</v>
      </c>
      <c r="I29" s="106">
        <v>0.16666666666666669</v>
      </c>
      <c r="J29" s="42" t="s">
        <v>134</v>
      </c>
      <c r="K29" s="43">
        <v>42005</v>
      </c>
      <c r="L29" s="43">
        <v>42369</v>
      </c>
      <c r="M29" s="44"/>
      <c r="N29" s="44"/>
      <c r="O29" s="44"/>
      <c r="P29" s="44"/>
      <c r="Q29" s="44"/>
      <c r="R29" s="44"/>
      <c r="S29" s="44"/>
      <c r="T29" s="44"/>
      <c r="U29" s="44"/>
      <c r="V29" s="44"/>
      <c r="W29" s="44"/>
      <c r="X29" s="44"/>
      <c r="Y29" s="65" t="s">
        <v>506</v>
      </c>
      <c r="Z29" s="75">
        <v>0</v>
      </c>
      <c r="AA29" s="217" t="s">
        <v>1090</v>
      </c>
      <c r="AB29" s="1292">
        <f>SUM(M29:N29)</f>
        <v>0</v>
      </c>
      <c r="AC29" s="1311">
        <f t="shared" si="3"/>
        <v>0</v>
      </c>
      <c r="AD29" s="1509" t="s">
        <v>1090</v>
      </c>
      <c r="AE29" s="1311" t="s">
        <v>1090</v>
      </c>
      <c r="AF29" s="1311" t="s">
        <v>1090</v>
      </c>
      <c r="AG29" s="1371" t="str">
        <f>AF29</f>
        <v>-</v>
      </c>
      <c r="AH29" s="1327"/>
      <c r="AI29" s="1326"/>
      <c r="AJ29" s="1326"/>
      <c r="AK29" s="1326" t="s">
        <v>1881</v>
      </c>
      <c r="AL29" s="1326" t="s">
        <v>1882</v>
      </c>
      <c r="AM29" s="1692">
        <f>SUM(M29:P29)</f>
        <v>0</v>
      </c>
      <c r="AN29" s="1699">
        <f t="shared" si="6"/>
        <v>0</v>
      </c>
      <c r="AO29" s="1697">
        <v>0</v>
      </c>
      <c r="AP29" s="1699" t="s">
        <v>1090</v>
      </c>
      <c r="AQ29" s="1699" t="s">
        <v>1090</v>
      </c>
      <c r="AR29" s="1699" t="str">
        <f t="shared" si="2"/>
        <v>-</v>
      </c>
      <c r="AS29" s="1743">
        <v>0</v>
      </c>
      <c r="AT29" s="1699">
        <v>0</v>
      </c>
      <c r="AU29" s="1692" t="s">
        <v>2202</v>
      </c>
      <c r="AV29" s="1692" t="s">
        <v>2203</v>
      </c>
      <c r="AW29" s="2200">
        <f t="shared" si="7"/>
        <v>0</v>
      </c>
      <c r="AX29" s="2201">
        <f t="shared" si="8"/>
        <v>0</v>
      </c>
      <c r="AY29" s="2200" t="s">
        <v>1090</v>
      </c>
      <c r="AZ29" s="2201" t="s">
        <v>1090</v>
      </c>
      <c r="BA29" s="2201" t="s">
        <v>1090</v>
      </c>
      <c r="BB29" s="2201" t="s">
        <v>1090</v>
      </c>
      <c r="BC29" s="2306">
        <v>0</v>
      </c>
      <c r="BD29" s="101" t="s">
        <v>1090</v>
      </c>
      <c r="BE29" s="2084" t="s">
        <v>2844</v>
      </c>
      <c r="BF29" s="2084" t="s">
        <v>2850</v>
      </c>
      <c r="BG29" s="2405" t="s">
        <v>1090</v>
      </c>
      <c r="BH29" s="2406">
        <f t="shared" si="9"/>
        <v>1</v>
      </c>
      <c r="BI29" s="2405" t="s">
        <v>1090</v>
      </c>
      <c r="BJ29" s="2406" t="s">
        <v>1090</v>
      </c>
      <c r="BK29" s="2406"/>
      <c r="BL29" s="2406" t="s">
        <v>1090</v>
      </c>
      <c r="BM29" s="2375"/>
      <c r="BN29" s="2408"/>
      <c r="BO29" s="2339" t="s">
        <v>2979</v>
      </c>
      <c r="BP29" s="2339"/>
    </row>
    <row r="30" spans="1:68" s="49" customFormat="1" ht="72.75" customHeight="1" thickBot="1">
      <c r="A30" s="2672"/>
      <c r="B30" s="2672"/>
      <c r="C30" s="2664"/>
      <c r="D30" s="107" t="s">
        <v>135</v>
      </c>
      <c r="E30" s="216" t="s">
        <v>136</v>
      </c>
      <c r="F30" s="215">
        <v>4</v>
      </c>
      <c r="G30" s="216" t="s">
        <v>137</v>
      </c>
      <c r="H30" s="65" t="s">
        <v>767</v>
      </c>
      <c r="I30" s="106">
        <v>0.16666666666666669</v>
      </c>
      <c r="J30" s="55" t="s">
        <v>138</v>
      </c>
      <c r="K30" s="56">
        <v>42005</v>
      </c>
      <c r="L30" s="56">
        <v>42369</v>
      </c>
      <c r="M30" s="57"/>
      <c r="N30" s="57"/>
      <c r="O30" s="57">
        <v>1</v>
      </c>
      <c r="P30" s="57"/>
      <c r="Q30" s="57"/>
      <c r="R30" s="57">
        <v>1</v>
      </c>
      <c r="S30" s="57"/>
      <c r="T30" s="57"/>
      <c r="U30" s="57">
        <v>1</v>
      </c>
      <c r="V30" s="57"/>
      <c r="W30" s="57"/>
      <c r="X30" s="57">
        <v>1</v>
      </c>
      <c r="Y30" s="109">
        <v>4</v>
      </c>
      <c r="Z30" s="75">
        <v>0</v>
      </c>
      <c r="AA30" s="217" t="s">
        <v>1090</v>
      </c>
      <c r="AB30" s="1292">
        <f aca="true" t="shared" si="12" ref="AB30:AB34">SUM(M30:N30)</f>
        <v>0</v>
      </c>
      <c r="AC30" s="1311">
        <f t="shared" si="3"/>
        <v>0</v>
      </c>
      <c r="AD30" s="1509" t="s">
        <v>1090</v>
      </c>
      <c r="AE30" s="1311" t="s">
        <v>1090</v>
      </c>
      <c r="AF30" s="1311" t="s">
        <v>1090</v>
      </c>
      <c r="AG30" s="1371" t="str">
        <f aca="true" t="shared" si="13" ref="AG30:AG34">AF30</f>
        <v>-</v>
      </c>
      <c r="AH30" s="1327"/>
      <c r="AI30" s="1326"/>
      <c r="AJ30" s="1326"/>
      <c r="AK30" s="1326" t="s">
        <v>1883</v>
      </c>
      <c r="AL30" s="1326"/>
      <c r="AM30" s="1692">
        <f aca="true" t="shared" si="14" ref="AM30:AM34">SUM(M30:P30)</f>
        <v>1</v>
      </c>
      <c r="AN30" s="1699">
        <f t="shared" si="6"/>
        <v>1</v>
      </c>
      <c r="AO30" s="1697">
        <v>0</v>
      </c>
      <c r="AP30" s="1699">
        <f aca="true" t="shared" si="15" ref="AP30:AP32">AO30/AM30</f>
        <v>0</v>
      </c>
      <c r="AQ30" s="1699">
        <f aca="true" t="shared" si="16" ref="AQ30:AQ32">AO30/Y30</f>
        <v>0</v>
      </c>
      <c r="AR30" s="1699">
        <f t="shared" si="2"/>
        <v>0</v>
      </c>
      <c r="AS30" s="1743">
        <v>0</v>
      </c>
      <c r="AT30" s="1699">
        <v>0</v>
      </c>
      <c r="AU30" s="1692" t="s">
        <v>2204</v>
      </c>
      <c r="AV30" s="1692"/>
      <c r="AW30" s="2200">
        <f t="shared" si="7"/>
        <v>2</v>
      </c>
      <c r="AX30" s="2201">
        <f t="shared" si="8"/>
        <v>1</v>
      </c>
      <c r="AY30" s="2200">
        <v>2</v>
      </c>
      <c r="AZ30" s="2201">
        <v>1</v>
      </c>
      <c r="BA30" s="2201">
        <v>0.5</v>
      </c>
      <c r="BB30" s="2201">
        <v>0.5</v>
      </c>
      <c r="BC30" s="2306">
        <v>0</v>
      </c>
      <c r="BD30" s="101" t="s">
        <v>1090</v>
      </c>
      <c r="BE30" s="2084" t="s">
        <v>2845</v>
      </c>
      <c r="BF30" s="2084"/>
      <c r="BG30" s="2405">
        <f>SUM(M30:T30)</f>
        <v>2</v>
      </c>
      <c r="BH30" s="2406">
        <f t="shared" si="9"/>
        <v>1</v>
      </c>
      <c r="BI30" s="2405">
        <v>2</v>
      </c>
      <c r="BJ30" s="2406">
        <v>1</v>
      </c>
      <c r="BK30" s="2406"/>
      <c r="BL30" s="2406">
        <f>BI30/Y30</f>
        <v>0.5</v>
      </c>
      <c r="BM30" s="2375"/>
      <c r="BN30" s="2408"/>
      <c r="BO30" s="2339" t="s">
        <v>2845</v>
      </c>
      <c r="BP30" s="2339"/>
    </row>
    <row r="31" spans="1:68" s="49" customFormat="1" ht="66.75" thickBot="1">
      <c r="A31" s="2672"/>
      <c r="B31" s="2672"/>
      <c r="C31" s="2656" t="s">
        <v>507</v>
      </c>
      <c r="D31" s="103" t="s">
        <v>151</v>
      </c>
      <c r="E31" s="104" t="s">
        <v>152</v>
      </c>
      <c r="F31" s="105">
        <v>12</v>
      </c>
      <c r="G31" s="104" t="s">
        <v>153</v>
      </c>
      <c r="H31" s="65" t="s">
        <v>767</v>
      </c>
      <c r="I31" s="106">
        <v>0.16666666666666669</v>
      </c>
      <c r="J31" s="42" t="s">
        <v>154</v>
      </c>
      <c r="K31" s="43">
        <v>42006</v>
      </c>
      <c r="L31" s="43">
        <v>42369</v>
      </c>
      <c r="M31" s="44">
        <v>1</v>
      </c>
      <c r="N31" s="44">
        <v>1</v>
      </c>
      <c r="O31" s="44">
        <v>1</v>
      </c>
      <c r="P31" s="44">
        <v>1</v>
      </c>
      <c r="Q31" s="44">
        <v>1</v>
      </c>
      <c r="R31" s="44">
        <v>1</v>
      </c>
      <c r="S31" s="44">
        <v>1</v>
      </c>
      <c r="T31" s="44">
        <v>1</v>
      </c>
      <c r="U31" s="44">
        <v>1</v>
      </c>
      <c r="V31" s="44">
        <v>1</v>
      </c>
      <c r="W31" s="44">
        <v>1</v>
      </c>
      <c r="X31" s="44">
        <v>1</v>
      </c>
      <c r="Y31" s="45">
        <v>12</v>
      </c>
      <c r="Z31" s="75">
        <v>0</v>
      </c>
      <c r="AA31" s="217" t="s">
        <v>1090</v>
      </c>
      <c r="AB31" s="1292">
        <f t="shared" si="12"/>
        <v>2</v>
      </c>
      <c r="AC31" s="1311">
        <f t="shared" si="3"/>
        <v>1</v>
      </c>
      <c r="AD31" s="1509">
        <v>2</v>
      </c>
      <c r="AE31" s="1311">
        <f aca="true" t="shared" si="17" ref="AE31:AE32">AD31/AB31</f>
        <v>1</v>
      </c>
      <c r="AF31" s="1311">
        <f aca="true" t="shared" si="18" ref="AF31:AF32">AD31/Y31</f>
        <v>0.16666666666666666</v>
      </c>
      <c r="AG31" s="1371">
        <f t="shared" si="13"/>
        <v>0.16666666666666666</v>
      </c>
      <c r="AH31" s="1327"/>
      <c r="AI31" s="1326"/>
      <c r="AJ31" s="1326"/>
      <c r="AK31" s="1326" t="s">
        <v>1884</v>
      </c>
      <c r="AL31" s="1326"/>
      <c r="AM31" s="1692">
        <f t="shared" si="14"/>
        <v>4</v>
      </c>
      <c r="AN31" s="1699">
        <f t="shared" si="6"/>
        <v>1</v>
      </c>
      <c r="AO31" s="1697">
        <v>1</v>
      </c>
      <c r="AP31" s="1699">
        <f t="shared" si="15"/>
        <v>0.25</v>
      </c>
      <c r="AQ31" s="1699">
        <f t="shared" si="16"/>
        <v>0.08333333333333333</v>
      </c>
      <c r="AR31" s="1699">
        <f t="shared" si="2"/>
        <v>0.25</v>
      </c>
      <c r="AS31" s="1743">
        <v>0</v>
      </c>
      <c r="AT31" s="1699">
        <v>0</v>
      </c>
      <c r="AU31" s="1692" t="s">
        <v>2205</v>
      </c>
      <c r="AV31" s="1692"/>
      <c r="AW31" s="2200">
        <f t="shared" si="7"/>
        <v>6</v>
      </c>
      <c r="AX31" s="2201">
        <f t="shared" si="8"/>
        <v>1</v>
      </c>
      <c r="AY31" s="2200">
        <v>6</v>
      </c>
      <c r="AZ31" s="2201">
        <v>1</v>
      </c>
      <c r="BA31" s="2201">
        <v>0.5</v>
      </c>
      <c r="BB31" s="2201">
        <v>0.5</v>
      </c>
      <c r="BC31" s="2306">
        <v>0</v>
      </c>
      <c r="BD31" s="101" t="s">
        <v>1090</v>
      </c>
      <c r="BE31" s="2084" t="s">
        <v>2846</v>
      </c>
      <c r="BF31" s="2084"/>
      <c r="BG31" s="2405">
        <f aca="true" t="shared" si="19" ref="BG31:BG32">SUM(M31:T31)</f>
        <v>8</v>
      </c>
      <c r="BH31" s="2406">
        <f t="shared" si="9"/>
        <v>1</v>
      </c>
      <c r="BI31" s="2405">
        <v>8</v>
      </c>
      <c r="BJ31" s="2406">
        <v>1</v>
      </c>
      <c r="BK31" s="2406"/>
      <c r="BL31" s="2406">
        <f>BI31/Y31</f>
        <v>0.6666666666666666</v>
      </c>
      <c r="BM31" s="2375"/>
      <c r="BN31" s="2408"/>
      <c r="BO31" s="2339" t="s">
        <v>2980</v>
      </c>
      <c r="BP31" s="2339"/>
    </row>
    <row r="32" spans="1:68" s="49" customFormat="1" ht="96" customHeight="1" thickBot="1">
      <c r="A32" s="2672"/>
      <c r="B32" s="2672"/>
      <c r="C32" s="2657"/>
      <c r="D32" s="107" t="s">
        <v>155</v>
      </c>
      <c r="E32" s="108" t="s">
        <v>152</v>
      </c>
      <c r="F32" s="102">
        <v>12</v>
      </c>
      <c r="G32" s="78" t="s">
        <v>153</v>
      </c>
      <c r="H32" s="65" t="s">
        <v>767</v>
      </c>
      <c r="I32" s="106">
        <v>0.16666666666666669</v>
      </c>
      <c r="J32" s="55" t="s">
        <v>154</v>
      </c>
      <c r="K32" s="56">
        <v>42006</v>
      </c>
      <c r="L32" s="56">
        <v>42369</v>
      </c>
      <c r="M32" s="57">
        <v>1</v>
      </c>
      <c r="N32" s="57">
        <v>1</v>
      </c>
      <c r="O32" s="57">
        <v>1</v>
      </c>
      <c r="P32" s="57">
        <v>1</v>
      </c>
      <c r="Q32" s="57">
        <v>1</v>
      </c>
      <c r="R32" s="57">
        <v>1</v>
      </c>
      <c r="S32" s="57">
        <v>1</v>
      </c>
      <c r="T32" s="57">
        <v>1</v>
      </c>
      <c r="U32" s="57">
        <v>1</v>
      </c>
      <c r="V32" s="57">
        <v>1</v>
      </c>
      <c r="W32" s="57">
        <v>1</v>
      </c>
      <c r="X32" s="57">
        <v>1</v>
      </c>
      <c r="Y32" s="109">
        <v>12</v>
      </c>
      <c r="Z32" s="75">
        <v>0</v>
      </c>
      <c r="AA32" s="217" t="s">
        <v>1090</v>
      </c>
      <c r="AB32" s="1292">
        <f t="shared" si="12"/>
        <v>2</v>
      </c>
      <c r="AC32" s="1311">
        <f t="shared" si="3"/>
        <v>1</v>
      </c>
      <c r="AD32" s="1509">
        <v>1</v>
      </c>
      <c r="AE32" s="1311">
        <f t="shared" si="17"/>
        <v>0.5</v>
      </c>
      <c r="AF32" s="1311">
        <f t="shared" si="18"/>
        <v>0.08333333333333333</v>
      </c>
      <c r="AG32" s="1371">
        <f t="shared" si="13"/>
        <v>0.08333333333333333</v>
      </c>
      <c r="AH32" s="1327"/>
      <c r="AI32" s="1326"/>
      <c r="AJ32" s="1326"/>
      <c r="AK32" s="1326" t="s">
        <v>1885</v>
      </c>
      <c r="AL32" s="1326" t="s">
        <v>1886</v>
      </c>
      <c r="AM32" s="1692">
        <f t="shared" si="14"/>
        <v>4</v>
      </c>
      <c r="AN32" s="1699">
        <f t="shared" si="6"/>
        <v>1</v>
      </c>
      <c r="AO32" s="1697">
        <v>1</v>
      </c>
      <c r="AP32" s="1699">
        <f t="shared" si="15"/>
        <v>0.25</v>
      </c>
      <c r="AQ32" s="1699">
        <f t="shared" si="16"/>
        <v>0.08333333333333333</v>
      </c>
      <c r="AR32" s="1699">
        <f t="shared" si="2"/>
        <v>0.25</v>
      </c>
      <c r="AS32" s="1743">
        <v>0</v>
      </c>
      <c r="AT32" s="1699">
        <v>0</v>
      </c>
      <c r="AU32" s="1692" t="s">
        <v>2206</v>
      </c>
      <c r="AV32" s="1692" t="s">
        <v>2207</v>
      </c>
      <c r="AW32" s="2200">
        <f t="shared" si="7"/>
        <v>6</v>
      </c>
      <c r="AX32" s="2201">
        <f t="shared" si="8"/>
        <v>1</v>
      </c>
      <c r="AY32" s="2200">
        <v>6</v>
      </c>
      <c r="AZ32" s="2201">
        <v>1</v>
      </c>
      <c r="BA32" s="2201">
        <v>0.5</v>
      </c>
      <c r="BB32" s="2201">
        <v>0.5</v>
      </c>
      <c r="BC32" s="2306">
        <v>0</v>
      </c>
      <c r="BD32" s="101" t="s">
        <v>1090</v>
      </c>
      <c r="BE32" s="2084" t="s">
        <v>2206</v>
      </c>
      <c r="BF32" s="2084" t="s">
        <v>2851</v>
      </c>
      <c r="BG32" s="2405">
        <f t="shared" si="19"/>
        <v>8</v>
      </c>
      <c r="BH32" s="2406">
        <f t="shared" si="9"/>
        <v>1</v>
      </c>
      <c r="BI32" s="2405">
        <v>8</v>
      </c>
      <c r="BJ32" s="2406">
        <v>1</v>
      </c>
      <c r="BK32" s="2406"/>
      <c r="BL32" s="2406">
        <f>BI32/Y32</f>
        <v>0.6666666666666666</v>
      </c>
      <c r="BM32" s="2375"/>
      <c r="BN32" s="2408"/>
      <c r="BO32" s="2339" t="s">
        <v>2981</v>
      </c>
      <c r="BP32" s="2339" t="s">
        <v>2982</v>
      </c>
    </row>
    <row r="33" spans="1:68" s="49" customFormat="1" ht="87.75" customHeight="1" thickBot="1">
      <c r="A33" s="2672"/>
      <c r="B33" s="2672"/>
      <c r="C33" s="2657"/>
      <c r="D33" s="103" t="s">
        <v>156</v>
      </c>
      <c r="E33" s="38" t="s">
        <v>157</v>
      </c>
      <c r="F33" s="110" t="s">
        <v>140</v>
      </c>
      <c r="G33" s="111" t="s">
        <v>141</v>
      </c>
      <c r="H33" s="65" t="s">
        <v>767</v>
      </c>
      <c r="I33" s="106">
        <v>0.16666666666666669</v>
      </c>
      <c r="J33" s="112" t="s">
        <v>158</v>
      </c>
      <c r="K33" s="113">
        <v>42006</v>
      </c>
      <c r="L33" s="43">
        <v>42369</v>
      </c>
      <c r="M33" s="44"/>
      <c r="N33" s="44"/>
      <c r="O33" s="44"/>
      <c r="P33" s="44"/>
      <c r="Q33" s="44"/>
      <c r="R33" s="44"/>
      <c r="S33" s="44"/>
      <c r="T33" s="44"/>
      <c r="U33" s="44"/>
      <c r="V33" s="44"/>
      <c r="W33" s="44"/>
      <c r="X33" s="44"/>
      <c r="Y33" s="45" t="s">
        <v>140</v>
      </c>
      <c r="Z33" s="75">
        <v>0</v>
      </c>
      <c r="AA33" s="217" t="s">
        <v>1090</v>
      </c>
      <c r="AB33" s="1292">
        <f t="shared" si="12"/>
        <v>0</v>
      </c>
      <c r="AC33" s="1311">
        <f t="shared" si="3"/>
        <v>0</v>
      </c>
      <c r="AD33" s="1509" t="s">
        <v>1090</v>
      </c>
      <c r="AE33" s="1311" t="s">
        <v>1090</v>
      </c>
      <c r="AF33" s="1311" t="s">
        <v>1090</v>
      </c>
      <c r="AG33" s="1371" t="str">
        <f t="shared" si="13"/>
        <v>-</v>
      </c>
      <c r="AH33" s="1327"/>
      <c r="AI33" s="1326"/>
      <c r="AJ33" s="1326"/>
      <c r="AK33" s="1326" t="s">
        <v>1887</v>
      </c>
      <c r="AL33" s="1326"/>
      <c r="AM33" s="1692">
        <f t="shared" si="14"/>
        <v>0</v>
      </c>
      <c r="AN33" s="1699">
        <f t="shared" si="6"/>
        <v>0</v>
      </c>
      <c r="AO33" s="1697">
        <v>0</v>
      </c>
      <c r="AP33" s="1699" t="s">
        <v>1090</v>
      </c>
      <c r="AQ33" s="1699" t="s">
        <v>1090</v>
      </c>
      <c r="AR33" s="1699" t="str">
        <f t="shared" si="2"/>
        <v>-</v>
      </c>
      <c r="AS33" s="1743">
        <v>0</v>
      </c>
      <c r="AT33" s="1699">
        <v>0</v>
      </c>
      <c r="AU33" s="1692" t="s">
        <v>2208</v>
      </c>
      <c r="AV33" s="1692" t="s">
        <v>2209</v>
      </c>
      <c r="AW33" s="2200">
        <f t="shared" si="7"/>
        <v>0</v>
      </c>
      <c r="AX33" s="2201">
        <f t="shared" si="8"/>
        <v>0</v>
      </c>
      <c r="AY33" s="2200" t="s">
        <v>1090</v>
      </c>
      <c r="AZ33" s="2201" t="s">
        <v>1090</v>
      </c>
      <c r="BA33" s="2201" t="s">
        <v>1090</v>
      </c>
      <c r="BB33" s="2201" t="s">
        <v>1090</v>
      </c>
      <c r="BC33" s="2306">
        <v>0</v>
      </c>
      <c r="BD33" s="101" t="s">
        <v>1090</v>
      </c>
      <c r="BE33" s="2084" t="s">
        <v>2847</v>
      </c>
      <c r="BF33" s="2084"/>
      <c r="BG33" s="2405" t="s">
        <v>1090</v>
      </c>
      <c r="BH33" s="2406">
        <f t="shared" si="9"/>
        <v>1</v>
      </c>
      <c r="BI33" s="2405" t="s">
        <v>1090</v>
      </c>
      <c r="BJ33" s="2406" t="s">
        <v>1090</v>
      </c>
      <c r="BK33" s="2406"/>
      <c r="BL33" s="2406" t="s">
        <v>1090</v>
      </c>
      <c r="BM33" s="2375"/>
      <c r="BN33" s="2408"/>
      <c r="BO33" s="2339" t="s">
        <v>2983</v>
      </c>
      <c r="BP33" s="2339"/>
    </row>
    <row r="34" spans="1:68" s="49" customFormat="1" ht="59.25" customHeight="1" thickBot="1">
      <c r="A34" s="2774"/>
      <c r="B34" s="2774"/>
      <c r="C34" s="2664"/>
      <c r="D34" s="107" t="s">
        <v>147</v>
      </c>
      <c r="E34" s="52" t="s">
        <v>148</v>
      </c>
      <c r="F34" s="52" t="s">
        <v>149</v>
      </c>
      <c r="G34" s="78" t="s">
        <v>150</v>
      </c>
      <c r="H34" s="65" t="s">
        <v>767</v>
      </c>
      <c r="I34" s="106">
        <v>0.16666666666666669</v>
      </c>
      <c r="J34" s="55" t="s">
        <v>148</v>
      </c>
      <c r="K34" s="56">
        <v>42006</v>
      </c>
      <c r="L34" s="56">
        <v>42369</v>
      </c>
      <c r="M34" s="57"/>
      <c r="N34" s="57"/>
      <c r="O34" s="57"/>
      <c r="P34" s="57"/>
      <c r="Q34" s="57"/>
      <c r="R34" s="57"/>
      <c r="S34" s="57"/>
      <c r="T34" s="57"/>
      <c r="U34" s="57"/>
      <c r="V34" s="57"/>
      <c r="W34" s="57"/>
      <c r="X34" s="57"/>
      <c r="Y34" s="109" t="s">
        <v>149</v>
      </c>
      <c r="Z34" s="75">
        <v>0</v>
      </c>
      <c r="AA34" s="217" t="s">
        <v>1090</v>
      </c>
      <c r="AB34" s="1292">
        <f t="shared" si="12"/>
        <v>0</v>
      </c>
      <c r="AC34" s="1311">
        <f t="shared" si="3"/>
        <v>0</v>
      </c>
      <c r="AD34" s="1509" t="s">
        <v>1090</v>
      </c>
      <c r="AE34" s="1311" t="s">
        <v>1090</v>
      </c>
      <c r="AF34" s="1311" t="s">
        <v>1090</v>
      </c>
      <c r="AG34" s="1371" t="str">
        <f t="shared" si="13"/>
        <v>-</v>
      </c>
      <c r="AH34" s="1327"/>
      <c r="AI34" s="1326"/>
      <c r="AJ34" s="1326"/>
      <c r="AK34" s="1326" t="s">
        <v>1888</v>
      </c>
      <c r="AL34" s="1326"/>
      <c r="AM34" s="1692">
        <f t="shared" si="14"/>
        <v>0</v>
      </c>
      <c r="AN34" s="1699">
        <f t="shared" si="6"/>
        <v>0</v>
      </c>
      <c r="AO34" s="1697">
        <v>0</v>
      </c>
      <c r="AP34" s="1699" t="s">
        <v>1090</v>
      </c>
      <c r="AQ34" s="1699" t="s">
        <v>1090</v>
      </c>
      <c r="AR34" s="1699" t="str">
        <f t="shared" si="2"/>
        <v>-</v>
      </c>
      <c r="AS34" s="1743">
        <v>0</v>
      </c>
      <c r="AT34" s="1699">
        <v>0</v>
      </c>
      <c r="AU34" s="1692" t="s">
        <v>2210</v>
      </c>
      <c r="AV34" s="1692"/>
      <c r="AW34" s="2200">
        <f t="shared" si="7"/>
        <v>0</v>
      </c>
      <c r="AX34" s="2201">
        <f t="shared" si="8"/>
        <v>0</v>
      </c>
      <c r="AY34" s="2200" t="s">
        <v>1090</v>
      </c>
      <c r="AZ34" s="2201" t="s">
        <v>1090</v>
      </c>
      <c r="BA34" s="2201" t="s">
        <v>1090</v>
      </c>
      <c r="BB34" s="2201" t="s">
        <v>1090</v>
      </c>
      <c r="BC34" s="2306">
        <v>0</v>
      </c>
      <c r="BD34" s="101" t="s">
        <v>1090</v>
      </c>
      <c r="BE34" s="2084" t="s">
        <v>2848</v>
      </c>
      <c r="BF34" s="2084"/>
      <c r="BG34" s="2405" t="s">
        <v>1090</v>
      </c>
      <c r="BH34" s="2406">
        <f t="shared" si="9"/>
        <v>1</v>
      </c>
      <c r="BI34" s="2405" t="s">
        <v>1090</v>
      </c>
      <c r="BJ34" s="2406" t="s">
        <v>1090</v>
      </c>
      <c r="BK34" s="2406"/>
      <c r="BL34" s="2406" t="s">
        <v>1090</v>
      </c>
      <c r="BM34" s="2375"/>
      <c r="BN34" s="2408"/>
      <c r="BO34" s="2339" t="s">
        <v>2984</v>
      </c>
      <c r="BP34" s="2339" t="s">
        <v>2985</v>
      </c>
    </row>
    <row r="35" spans="1:68" s="34" customFormat="1" ht="20.1" customHeight="1" thickBot="1">
      <c r="A35" s="2652" t="s">
        <v>130</v>
      </c>
      <c r="B35" s="2653"/>
      <c r="C35" s="2653"/>
      <c r="D35" s="2654"/>
      <c r="E35" s="179"/>
      <c r="F35" s="179"/>
      <c r="G35" s="179"/>
      <c r="H35" s="266"/>
      <c r="I35" s="86">
        <f>+SUM(I29:I34)</f>
        <v>1.0000000000000002</v>
      </c>
      <c r="J35" s="179"/>
      <c r="K35" s="179"/>
      <c r="L35" s="179"/>
      <c r="M35" s="179"/>
      <c r="N35" s="179"/>
      <c r="O35" s="179"/>
      <c r="P35" s="179"/>
      <c r="Q35" s="179"/>
      <c r="R35" s="179"/>
      <c r="S35" s="179"/>
      <c r="T35" s="179"/>
      <c r="U35" s="179"/>
      <c r="V35" s="179"/>
      <c r="W35" s="179"/>
      <c r="X35" s="179"/>
      <c r="Y35" s="87"/>
      <c r="Z35" s="218">
        <f>SUM(Z29:Z34)</f>
        <v>0</v>
      </c>
      <c r="AA35" s="180"/>
      <c r="AB35" s="1503"/>
      <c r="AC35" s="1504">
        <f>AVERAGEIF(AC29:AC34,"&gt;0")</f>
        <v>1</v>
      </c>
      <c r="AD35" s="1554"/>
      <c r="AE35" s="1504">
        <f>AVERAGE(AE29:AE34)</f>
        <v>0.75</v>
      </c>
      <c r="AF35" s="1504"/>
      <c r="AG35" s="1556">
        <f>AVERAGE(AG29:AG34)</f>
        <v>0.125</v>
      </c>
      <c r="AH35" s="1323"/>
      <c r="AI35" s="1323"/>
      <c r="AJ35" s="1323"/>
      <c r="AK35" s="1323"/>
      <c r="AL35" s="1323"/>
      <c r="AM35" s="92"/>
      <c r="AN35" s="1875">
        <f>AVERAGEIF(AN29:AN34,"&gt;0")</f>
        <v>1</v>
      </c>
      <c r="AO35" s="92"/>
      <c r="AP35" s="1877">
        <f>AVERAGE(AP29:AP34)</f>
        <v>0.16666666666666666</v>
      </c>
      <c r="AQ35" s="1325"/>
      <c r="AR35" s="1877">
        <f>AVERAGE(AR29:AR34)</f>
        <v>0.16666666666666666</v>
      </c>
      <c r="AS35" s="92"/>
      <c r="AT35" s="92"/>
      <c r="AU35" s="92"/>
      <c r="AV35" s="92"/>
      <c r="AW35" s="2164"/>
      <c r="AX35" s="1878">
        <v>1</v>
      </c>
      <c r="AY35" s="2164"/>
      <c r="AZ35" s="1879">
        <f>AVERAGE(AZ29:AZ34)</f>
        <v>1</v>
      </c>
      <c r="BA35" s="2164"/>
      <c r="BB35" s="1879">
        <f>AVERAGE(BB29:BB34)</f>
        <v>0.5</v>
      </c>
      <c r="BC35" s="2164"/>
      <c r="BD35" s="1325"/>
      <c r="BE35" s="1325"/>
      <c r="BF35" s="1325"/>
      <c r="BG35" s="2331"/>
      <c r="BH35" s="1878">
        <v>1</v>
      </c>
      <c r="BI35" s="2331"/>
      <c r="BJ35" s="1879">
        <f>AVERAGE(BJ29:BJ34)</f>
        <v>1</v>
      </c>
      <c r="BK35" s="2331"/>
      <c r="BL35" s="1879">
        <f>AVERAGE(BL29:BL34)</f>
        <v>0.611111111111111</v>
      </c>
      <c r="BM35" s="2331"/>
      <c r="BN35" s="1325"/>
      <c r="BO35" s="1325"/>
      <c r="BP35" s="1325"/>
    </row>
    <row r="36" spans="1:68" s="49" customFormat="1" ht="63" customHeight="1" thickBot="1">
      <c r="A36" s="184">
        <v>3</v>
      </c>
      <c r="B36" s="184" t="s">
        <v>228</v>
      </c>
      <c r="C36" s="183" t="s">
        <v>237</v>
      </c>
      <c r="D36" s="385" t="s">
        <v>545</v>
      </c>
      <c r="E36" s="142" t="s">
        <v>148</v>
      </c>
      <c r="F36" s="52" t="s">
        <v>149</v>
      </c>
      <c r="G36" s="77" t="s">
        <v>150</v>
      </c>
      <c r="H36" s="65" t="s">
        <v>767</v>
      </c>
      <c r="I36" s="386">
        <v>1</v>
      </c>
      <c r="J36" s="144" t="s">
        <v>260</v>
      </c>
      <c r="K36" s="145">
        <v>42006</v>
      </c>
      <c r="L36" s="145">
        <v>42369</v>
      </c>
      <c r="M36" s="146"/>
      <c r="N36" s="146"/>
      <c r="O36" s="146"/>
      <c r="P36" s="146"/>
      <c r="Q36" s="146"/>
      <c r="R36" s="146"/>
      <c r="S36" s="146"/>
      <c r="T36" s="146"/>
      <c r="U36" s="147"/>
      <c r="V36" s="147"/>
      <c r="W36" s="147"/>
      <c r="X36" s="147"/>
      <c r="Y36" s="121" t="s">
        <v>149</v>
      </c>
      <c r="Z36" s="96">
        <v>0</v>
      </c>
      <c r="AA36" s="217" t="s">
        <v>1090</v>
      </c>
      <c r="AB36" s="1292">
        <f>SUM(M36:N36)</f>
        <v>0</v>
      </c>
      <c r="AC36" s="1311">
        <f t="shared" si="3"/>
        <v>0</v>
      </c>
      <c r="AD36" s="1509" t="s">
        <v>1090</v>
      </c>
      <c r="AE36" s="1311" t="s">
        <v>1090</v>
      </c>
      <c r="AF36" s="1311" t="s">
        <v>1090</v>
      </c>
      <c r="AG36" s="1371" t="str">
        <f>AF36</f>
        <v>-</v>
      </c>
      <c r="AH36" s="1328"/>
      <c r="AI36" s="1326"/>
      <c r="AJ36" s="1326"/>
      <c r="AK36" s="1326" t="s">
        <v>1889</v>
      </c>
      <c r="AL36" s="1326"/>
      <c r="AM36" s="1692">
        <f>SUM(M36:P36)</f>
        <v>0</v>
      </c>
      <c r="AN36" s="1699">
        <f t="shared" si="6"/>
        <v>0</v>
      </c>
      <c r="AO36" s="1697">
        <v>0</v>
      </c>
      <c r="AP36" s="1726" t="s">
        <v>1090</v>
      </c>
      <c r="AQ36" s="1726" t="s">
        <v>1090</v>
      </c>
      <c r="AR36" s="1692" t="str">
        <f t="shared" si="2"/>
        <v>-</v>
      </c>
      <c r="AS36" s="1743">
        <v>0</v>
      </c>
      <c r="AT36" s="1699">
        <v>0</v>
      </c>
      <c r="AU36" s="1692" t="s">
        <v>2211</v>
      </c>
      <c r="AV36" s="1692"/>
      <c r="AW36" s="2200">
        <f t="shared" si="7"/>
        <v>0</v>
      </c>
      <c r="AX36" s="2201">
        <f t="shared" si="8"/>
        <v>0</v>
      </c>
      <c r="AY36" s="2200" t="s">
        <v>1090</v>
      </c>
      <c r="AZ36" s="2201" t="s">
        <v>1090</v>
      </c>
      <c r="BA36" s="2200" t="s">
        <v>1090</v>
      </c>
      <c r="BB36" s="2200" t="s">
        <v>1090</v>
      </c>
      <c r="BC36" s="2306">
        <v>0</v>
      </c>
      <c r="BD36" s="101" t="s">
        <v>1090</v>
      </c>
      <c r="BE36" s="2084" t="s">
        <v>2849</v>
      </c>
      <c r="BF36" s="101"/>
      <c r="BG36" s="2405" t="s">
        <v>1090</v>
      </c>
      <c r="BH36" s="2406">
        <f t="shared" si="9"/>
        <v>1</v>
      </c>
      <c r="BI36" s="2405" t="s">
        <v>1090</v>
      </c>
      <c r="BJ36" s="2406" t="s">
        <v>1090</v>
      </c>
      <c r="BK36" s="2405"/>
      <c r="BL36" s="2405" t="s">
        <v>1090</v>
      </c>
      <c r="BM36" s="2375"/>
      <c r="BN36" s="2408"/>
      <c r="BO36" s="2339" t="s">
        <v>2984</v>
      </c>
      <c r="BP36" s="2339" t="s">
        <v>2985</v>
      </c>
    </row>
    <row r="37" spans="1:68" s="34" customFormat="1" ht="20.1" customHeight="1" thickBot="1">
      <c r="A37" s="2652" t="s">
        <v>130</v>
      </c>
      <c r="B37" s="2653"/>
      <c r="C37" s="2653"/>
      <c r="D37" s="2654"/>
      <c r="E37" s="179"/>
      <c r="F37" s="179"/>
      <c r="G37" s="179"/>
      <c r="H37" s="179"/>
      <c r="I37" s="86">
        <f>+I36</f>
        <v>1</v>
      </c>
      <c r="J37" s="179"/>
      <c r="K37" s="179"/>
      <c r="L37" s="179"/>
      <c r="M37" s="179"/>
      <c r="N37" s="179"/>
      <c r="O37" s="179"/>
      <c r="P37" s="179"/>
      <c r="Q37" s="179"/>
      <c r="R37" s="179"/>
      <c r="S37" s="179"/>
      <c r="T37" s="179"/>
      <c r="U37" s="179"/>
      <c r="V37" s="179"/>
      <c r="W37" s="179"/>
      <c r="X37" s="179"/>
      <c r="Y37" s="87"/>
      <c r="Z37" s="88">
        <f>SUM(Z36:Z36)</f>
        <v>0</v>
      </c>
      <c r="AA37" s="180"/>
      <c r="AB37" s="1493"/>
      <c r="AC37" s="1494" t="s">
        <v>1090</v>
      </c>
      <c r="AD37" s="1511"/>
      <c r="AE37" s="1494" t="s">
        <v>1090</v>
      </c>
      <c r="AF37" s="1494"/>
      <c r="AG37" s="1495" t="s">
        <v>1090</v>
      </c>
      <c r="AH37" s="1324"/>
      <c r="AI37" s="1324"/>
      <c r="AJ37" s="1324"/>
      <c r="AK37" s="1324"/>
      <c r="AL37" s="1324"/>
      <c r="AM37" s="92"/>
      <c r="AN37" s="1875">
        <f>AVERAGEIF(AN31:AN36,"&gt;0")</f>
        <v>1</v>
      </c>
      <c r="AO37" s="92"/>
      <c r="AP37" s="1325" t="s">
        <v>1090</v>
      </c>
      <c r="AQ37" s="1325"/>
      <c r="AR37" s="1325" t="s">
        <v>1090</v>
      </c>
      <c r="AS37" s="92"/>
      <c r="AT37" s="92"/>
      <c r="AU37" s="92"/>
      <c r="AV37" s="92"/>
      <c r="AW37" s="2164"/>
      <c r="AX37" s="1878">
        <v>1</v>
      </c>
      <c r="AY37" s="2164"/>
      <c r="AZ37" s="2164" t="s">
        <v>1090</v>
      </c>
      <c r="BA37" s="2164"/>
      <c r="BB37" s="2164" t="s">
        <v>1090</v>
      </c>
      <c r="BC37" s="92"/>
      <c r="BD37" s="1325"/>
      <c r="BE37" s="1325"/>
      <c r="BF37" s="1325"/>
      <c r="BG37" s="2331"/>
      <c r="BH37" s="1878">
        <v>1</v>
      </c>
      <c r="BI37" s="2331"/>
      <c r="BJ37" s="2331" t="s">
        <v>1090</v>
      </c>
      <c r="BK37" s="2331"/>
      <c r="BL37" s="2331" t="s">
        <v>1090</v>
      </c>
      <c r="BM37" s="1325"/>
      <c r="BN37" s="1325"/>
      <c r="BO37" s="1325"/>
      <c r="BP37" s="1325"/>
    </row>
    <row r="38" spans="1:68" s="34" customFormat="1" ht="20.1" customHeight="1" thickBot="1">
      <c r="A38" s="2660" t="s">
        <v>290</v>
      </c>
      <c r="B38" s="2661"/>
      <c r="C38" s="2661"/>
      <c r="D38" s="2662"/>
      <c r="E38" s="181"/>
      <c r="F38" s="182"/>
      <c r="G38" s="182"/>
      <c r="H38" s="182"/>
      <c r="I38" s="305">
        <f>+(I37+I35+I28)/3</f>
        <v>1</v>
      </c>
      <c r="J38" s="182"/>
      <c r="K38" s="182"/>
      <c r="L38" s="182"/>
      <c r="M38" s="182"/>
      <c r="N38" s="182"/>
      <c r="O38" s="182"/>
      <c r="P38" s="182"/>
      <c r="Q38" s="182"/>
      <c r="R38" s="182"/>
      <c r="S38" s="182"/>
      <c r="T38" s="182"/>
      <c r="U38" s="182"/>
      <c r="V38" s="182"/>
      <c r="W38" s="182"/>
      <c r="X38" s="182"/>
      <c r="Y38" s="160"/>
      <c r="Z38" s="161">
        <f>SUM(Z37,Z35,Z28)</f>
        <v>0</v>
      </c>
      <c r="AA38" s="162"/>
      <c r="AB38" s="1524"/>
      <c r="AC38" s="1525">
        <f>AVERAGE(AC37,AC35,AC28)</f>
        <v>1</v>
      </c>
      <c r="AD38" s="1526"/>
      <c r="AE38" s="1525">
        <f>AVERAGE(AE37,AE35,AE28)</f>
        <v>0.75</v>
      </c>
      <c r="AF38" s="1525"/>
      <c r="AG38" s="1546">
        <f>AVERAGE(AG37,AG35,AG28)</f>
        <v>0.0625</v>
      </c>
      <c r="AH38" s="1329"/>
      <c r="AI38" s="1329"/>
      <c r="AJ38" s="1329"/>
      <c r="AK38" s="1329"/>
      <c r="AL38" s="1329"/>
      <c r="AM38" s="163"/>
      <c r="AN38" s="306">
        <f>AVERAGE(AN37,AN35,AN28)</f>
        <v>1</v>
      </c>
      <c r="AO38" s="163"/>
      <c r="AP38" s="306">
        <f>AVERAGE(AP37,AP35,AP28)</f>
        <v>0.16666666666666666</v>
      </c>
      <c r="AQ38" s="1329"/>
      <c r="AR38" s="306">
        <f>AVERAGE(AR37,AR35,AR28)</f>
        <v>0.16666666666666666</v>
      </c>
      <c r="AS38" s="163"/>
      <c r="AT38" s="163"/>
      <c r="AU38" s="163"/>
      <c r="AV38" s="163"/>
      <c r="AW38" s="2163"/>
      <c r="AX38" s="1342">
        <f>AVERAGE(AX37,AX35,AX28)</f>
        <v>1</v>
      </c>
      <c r="AY38" s="2163"/>
      <c r="AZ38" s="1342">
        <f>AVERAGE(AZ37,AZ35,AZ28)</f>
        <v>0.75</v>
      </c>
      <c r="BA38" s="2163"/>
      <c r="BB38" s="1342">
        <f>AVERAGE(BB37,BB35,BB28)</f>
        <v>0.5</v>
      </c>
      <c r="BC38" s="2163"/>
      <c r="BD38" s="2163"/>
      <c r="BE38" s="1329"/>
      <c r="BF38" s="1329"/>
      <c r="BG38" s="2326"/>
      <c r="BH38" s="1342">
        <v>1</v>
      </c>
      <c r="BI38" s="2326"/>
      <c r="BJ38" s="1342">
        <f>AVERAGE(BJ37,BJ35,BJ28)</f>
        <v>1</v>
      </c>
      <c r="BK38" s="2326"/>
      <c r="BL38" s="1342">
        <f>AVERAGE(BL37,BL35,BL28)</f>
        <v>0.8055555555555556</v>
      </c>
      <c r="BM38" s="2326"/>
      <c r="BN38" s="2326"/>
      <c r="BO38" s="1329"/>
      <c r="BP38" s="1329"/>
    </row>
    <row r="39" spans="1:68" s="3" customFormat="1" ht="27.75" customHeight="1" thickBot="1">
      <c r="A39" s="164"/>
      <c r="B39" s="165"/>
      <c r="C39" s="166"/>
      <c r="D39" s="166"/>
      <c r="E39" s="166"/>
      <c r="F39" s="267"/>
      <c r="G39" s="166"/>
      <c r="H39" s="166"/>
      <c r="I39" s="268"/>
      <c r="J39" s="166"/>
      <c r="K39" s="269"/>
      <c r="L39" s="269"/>
      <c r="M39" s="166"/>
      <c r="N39" s="166"/>
      <c r="O39" s="166"/>
      <c r="P39" s="166"/>
      <c r="Q39" s="166"/>
      <c r="R39" s="166"/>
      <c r="S39" s="166"/>
      <c r="T39" s="166"/>
      <c r="U39" s="166"/>
      <c r="V39" s="166"/>
      <c r="W39" s="166"/>
      <c r="X39" s="166"/>
      <c r="Y39" s="270"/>
      <c r="Z39" s="271">
        <f>SUM(Z38)</f>
        <v>0</v>
      </c>
      <c r="AA39" s="166"/>
      <c r="AB39" s="1528"/>
      <c r="AC39" s="1529">
        <f>AVERAGE(AC38,AC18)</f>
        <v>1</v>
      </c>
      <c r="AD39" s="1530"/>
      <c r="AE39" s="1529">
        <f>AVERAGE(AE38,AE18)</f>
        <v>0.75</v>
      </c>
      <c r="AF39" s="1529"/>
      <c r="AG39" s="1548">
        <f>AVERAGE(AG38,AG18)</f>
        <v>0.03125</v>
      </c>
      <c r="AH39" s="1547"/>
      <c r="AI39" s="1330"/>
      <c r="AJ39" s="1330"/>
      <c r="AK39" s="1330"/>
      <c r="AL39" s="1330"/>
      <c r="AM39" s="1886"/>
      <c r="AN39" s="1885">
        <f>AVERAGE(AN38,AN18)</f>
        <v>1</v>
      </c>
      <c r="AO39" s="1886"/>
      <c r="AP39" s="1885">
        <f>AVERAGE(AP38,AP18)</f>
        <v>0.16666666666666666</v>
      </c>
      <c r="AQ39" s="1886"/>
      <c r="AR39" s="1885">
        <f>AVERAGE(AR38,AR18)</f>
        <v>0.16666666666666666</v>
      </c>
      <c r="AS39" s="1886"/>
      <c r="AT39" s="1886"/>
      <c r="AU39" s="173"/>
      <c r="AV39" s="173"/>
      <c r="AW39" s="1547"/>
      <c r="AX39" s="1529">
        <v>1</v>
      </c>
      <c r="AY39" s="1547"/>
      <c r="AZ39" s="1548">
        <f>AVERAGE(AZ38,AZ18)</f>
        <v>0.75</v>
      </c>
      <c r="BA39" s="1547"/>
      <c r="BB39" s="1548">
        <f>AVERAGE(BB38,BB18)</f>
        <v>0.25</v>
      </c>
      <c r="BC39" s="1547"/>
      <c r="BD39" s="1547"/>
      <c r="BE39" s="1330"/>
      <c r="BF39" s="1330"/>
      <c r="BG39" s="1547"/>
      <c r="BH39" s="1529">
        <v>1</v>
      </c>
      <c r="BI39" s="1547"/>
      <c r="BJ39" s="1548">
        <f>AVERAGE(BJ38,BJ18)</f>
        <v>1</v>
      </c>
      <c r="BK39" s="1547"/>
      <c r="BL39" s="1548">
        <f>AVERAGE(BL38,BL18)</f>
        <v>0.4027777777777778</v>
      </c>
      <c r="BM39" s="1547"/>
      <c r="BN39" s="1547"/>
      <c r="BO39" s="1330"/>
      <c r="BP39" s="1330"/>
    </row>
  </sheetData>
  <mergeCells count="45">
    <mergeCell ref="BG5:BP9"/>
    <mergeCell ref="BG11:BP11"/>
    <mergeCell ref="BG13:BP13"/>
    <mergeCell ref="BG20:BP20"/>
    <mergeCell ref="A38:D38"/>
    <mergeCell ref="A29:A34"/>
    <mergeCell ref="B29:B34"/>
    <mergeCell ref="C29:C30"/>
    <mergeCell ref="C31:C34"/>
    <mergeCell ref="A35:D35"/>
    <mergeCell ref="A37:D37"/>
    <mergeCell ref="A28:D28"/>
    <mergeCell ref="A23:A27"/>
    <mergeCell ref="B23:B27"/>
    <mergeCell ref="C26:C27"/>
    <mergeCell ref="A13:D13"/>
    <mergeCell ref="A1:C4"/>
    <mergeCell ref="D1:BC2"/>
    <mergeCell ref="D3:BC4"/>
    <mergeCell ref="A6:AA6"/>
    <mergeCell ref="A7:AA7"/>
    <mergeCell ref="AB7:AL9"/>
    <mergeCell ref="AM7:AV9"/>
    <mergeCell ref="A5:AA5"/>
    <mergeCell ref="AB5:AL6"/>
    <mergeCell ref="AM5:AV6"/>
    <mergeCell ref="A8:AA8"/>
    <mergeCell ref="A9:AA9"/>
    <mergeCell ref="AW5:BF9"/>
    <mergeCell ref="AW20:BF20"/>
    <mergeCell ref="A17:D17"/>
    <mergeCell ref="A18:D18"/>
    <mergeCell ref="A11:D11"/>
    <mergeCell ref="E11:AA11"/>
    <mergeCell ref="AB11:AL11"/>
    <mergeCell ref="E13:AA13"/>
    <mergeCell ref="AB13:AL13"/>
    <mergeCell ref="E20:AA20"/>
    <mergeCell ref="AB20:AL20"/>
    <mergeCell ref="AM20:AV20"/>
    <mergeCell ref="AM11:AV11"/>
    <mergeCell ref="AM13:AV13"/>
    <mergeCell ref="A20:D20"/>
    <mergeCell ref="AW11:BF11"/>
    <mergeCell ref="AW13:BF13"/>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23"/>
  <sheetViews>
    <sheetView zoomScale="70" zoomScaleNormal="70" workbookViewId="0" topLeftCell="A13">
      <pane xSplit="4" ySplit="3" topLeftCell="W16" activePane="bottomRight" state="frozen"/>
      <selection pane="topLeft" activeCell="A13" sqref="A13"/>
      <selection pane="topRight" activeCell="E13" sqref="E13"/>
      <selection pane="bottomLeft" activeCell="A16" sqref="A16"/>
      <selection pane="bottomRight" activeCell="BH62" sqref="BH62"/>
    </sheetView>
  </sheetViews>
  <sheetFormatPr defaultColWidth="11.421875" defaultRowHeight="15"/>
  <cols>
    <col min="1" max="1" width="6.421875" style="1766" customWidth="1"/>
    <col min="2" max="2" width="24.8515625" style="1" customWidth="1"/>
    <col min="3" max="3" width="35.140625" style="1766" customWidth="1"/>
    <col min="4" max="4" width="48.28125" style="1766" customWidth="1"/>
    <col min="5" max="5" width="21.00390625" style="1766" customWidth="1"/>
    <col min="6" max="6" width="11.57421875" style="1766" customWidth="1"/>
    <col min="7" max="7" width="25.7109375" style="1766" customWidth="1"/>
    <col min="8" max="8" width="18.00390625" style="1766" customWidth="1"/>
    <col min="9" max="9" width="11.7109375" style="1766" bestFit="1" customWidth="1"/>
    <col min="10" max="10" width="39.140625" style="1766" customWidth="1"/>
    <col min="11" max="11" width="10.7109375" style="1766" customWidth="1"/>
    <col min="12" max="12" width="11.28125" style="1766" customWidth="1"/>
    <col min="13" max="14" width="6.57421875" style="1766" customWidth="1"/>
    <col min="15" max="15" width="8.57421875" style="1766" customWidth="1"/>
    <col min="16" max="24" width="6.57421875" style="1766" customWidth="1"/>
    <col min="25" max="25" width="15.421875" style="1341" customWidth="1"/>
    <col min="26" max="26" width="20.7109375" style="1766" customWidth="1"/>
    <col min="27" max="27" width="20.00390625" style="1766" customWidth="1"/>
    <col min="28" max="28" width="11.421875" style="1766" hidden="1" customWidth="1"/>
    <col min="29" max="29" width="13.57421875" style="1571" hidden="1" customWidth="1"/>
    <col min="30" max="30" width="11.421875" style="1520" hidden="1" customWidth="1"/>
    <col min="31" max="32" width="11.421875" style="1369" hidden="1" customWidth="1"/>
    <col min="33" max="33" width="13.00390625" style="1369" hidden="1" customWidth="1"/>
    <col min="34" max="34" width="11.421875" style="1766" hidden="1" customWidth="1"/>
    <col min="35" max="35" width="14.00390625" style="1766" hidden="1" customWidth="1"/>
    <col min="36" max="36" width="14.140625" style="1766" hidden="1" customWidth="1"/>
    <col min="37" max="37" width="25.140625" style="1766" hidden="1" customWidth="1"/>
    <col min="38" max="38" width="22.28125" style="1766" hidden="1" customWidth="1"/>
    <col min="39" max="41" width="11.421875" style="1766" hidden="1" customWidth="1"/>
    <col min="42" max="42" width="15.28125" style="1766" hidden="1" customWidth="1"/>
    <col min="43" max="43" width="15.8515625" style="1766" hidden="1" customWidth="1"/>
    <col min="44" max="46" width="11.421875" style="1766" hidden="1" customWidth="1"/>
    <col min="47" max="47" width="57.421875" style="1766" hidden="1" customWidth="1"/>
    <col min="48" max="48" width="32.140625" style="1766" hidden="1" customWidth="1"/>
    <col min="49" max="53" width="11.421875" style="1766" hidden="1" customWidth="1"/>
    <col min="54" max="54" width="15.28125" style="1766" hidden="1" customWidth="1"/>
    <col min="55" max="55" width="18.421875" style="1766" hidden="1" customWidth="1"/>
    <col min="56" max="56" width="12.7109375" style="1766" hidden="1" customWidth="1"/>
    <col min="57" max="57" width="40.57421875" style="1766" hidden="1" customWidth="1"/>
    <col min="58" max="58" width="12.57421875" style="1766" hidden="1" customWidth="1"/>
    <col min="59" max="59" width="12.57421875" style="1766" customWidth="1"/>
    <col min="60" max="61" width="13.00390625" style="1766" customWidth="1"/>
    <col min="62" max="62" width="14.421875" style="1766" customWidth="1"/>
    <col min="63" max="63" width="13.00390625" style="1766" customWidth="1"/>
    <col min="64" max="64" width="13.28125" style="1766" customWidth="1"/>
    <col min="65" max="65" width="13.140625" style="1766" customWidth="1"/>
    <col min="66" max="66" width="12.57421875" style="1766" customWidth="1"/>
    <col min="67" max="67" width="29.8515625" style="1766" customWidth="1"/>
    <col min="68" max="68" width="21.28125" style="1766" customWidth="1"/>
    <col min="69" max="16384" width="11.421875" style="1766" customWidth="1"/>
  </cols>
  <sheetData>
    <row r="1" spans="1:55" ht="15" customHeight="1">
      <c r="A1" s="2590"/>
      <c r="B1" s="2591"/>
      <c r="C1" s="2592"/>
      <c r="D1" s="2599" t="s">
        <v>0</v>
      </c>
      <c r="E1" s="2600"/>
      <c r="F1" s="2600"/>
      <c r="G1" s="2600"/>
      <c r="H1" s="2600"/>
      <c r="I1" s="2600"/>
      <c r="J1" s="2600"/>
      <c r="K1" s="2600"/>
      <c r="L1" s="2600"/>
      <c r="M1" s="2600"/>
      <c r="N1" s="2600"/>
      <c r="O1" s="2600"/>
      <c r="P1" s="2600"/>
      <c r="Q1" s="2600"/>
      <c r="R1" s="2600"/>
      <c r="S1" s="2600"/>
      <c r="T1" s="2600"/>
      <c r="U1" s="2600"/>
      <c r="V1" s="2600"/>
      <c r="W1" s="2600"/>
      <c r="X1" s="2600"/>
      <c r="Y1" s="2600"/>
      <c r="Z1" s="2600"/>
      <c r="AA1" s="2600"/>
      <c r="AB1" s="2600"/>
      <c r="AC1" s="2600"/>
      <c r="AD1" s="2600"/>
      <c r="AE1" s="2600"/>
      <c r="AF1" s="2600"/>
      <c r="AG1" s="2600"/>
      <c r="AH1" s="2600"/>
      <c r="AI1" s="2600"/>
      <c r="AJ1" s="2600"/>
      <c r="AK1" s="2600"/>
      <c r="AL1" s="2600"/>
      <c r="AM1" s="2600"/>
      <c r="AN1" s="2600"/>
      <c r="AO1" s="2600"/>
      <c r="AP1" s="2600"/>
      <c r="AQ1" s="2600"/>
      <c r="AR1" s="2600"/>
      <c r="AS1" s="2600"/>
      <c r="AT1" s="2600"/>
      <c r="AU1" s="2600"/>
      <c r="AV1" s="2600"/>
      <c r="AW1" s="2600"/>
      <c r="AX1" s="2600"/>
      <c r="AY1" s="2600"/>
      <c r="AZ1" s="2600"/>
      <c r="BA1" s="2600"/>
      <c r="BB1" s="2600"/>
      <c r="BC1" s="2600"/>
    </row>
    <row r="2" spans="1:55" ht="20.25" customHeight="1" thickBot="1">
      <c r="A2" s="2593"/>
      <c r="B2" s="2594"/>
      <c r="C2" s="2595"/>
      <c r="D2" s="2601"/>
      <c r="E2" s="2602"/>
      <c r="F2" s="2602"/>
      <c r="G2" s="2602"/>
      <c r="H2" s="2602"/>
      <c r="I2" s="2602"/>
      <c r="J2" s="2602"/>
      <c r="K2" s="2602"/>
      <c r="L2" s="2602"/>
      <c r="M2" s="2602"/>
      <c r="N2" s="2602"/>
      <c r="O2" s="2602"/>
      <c r="P2" s="2602"/>
      <c r="Q2" s="2602"/>
      <c r="R2" s="2602"/>
      <c r="S2" s="2602"/>
      <c r="T2" s="2602"/>
      <c r="U2" s="2602"/>
      <c r="V2" s="2602"/>
      <c r="W2" s="2602"/>
      <c r="X2" s="2602"/>
      <c r="Y2" s="2602"/>
      <c r="Z2" s="2602"/>
      <c r="AA2" s="2602"/>
      <c r="AB2" s="2602"/>
      <c r="AC2" s="2602"/>
      <c r="AD2" s="2602"/>
      <c r="AE2" s="2602"/>
      <c r="AF2" s="2602"/>
      <c r="AG2" s="2602"/>
      <c r="AH2" s="2602"/>
      <c r="AI2" s="2602"/>
      <c r="AJ2" s="2602"/>
      <c r="AK2" s="2602"/>
      <c r="AL2" s="2602"/>
      <c r="AM2" s="2602"/>
      <c r="AN2" s="2602"/>
      <c r="AO2" s="2602"/>
      <c r="AP2" s="2602"/>
      <c r="AQ2" s="2602"/>
      <c r="AR2" s="2602"/>
      <c r="AS2" s="2602"/>
      <c r="AT2" s="2602"/>
      <c r="AU2" s="2602"/>
      <c r="AV2" s="2602"/>
      <c r="AW2" s="2602"/>
      <c r="AX2" s="2602"/>
      <c r="AY2" s="2602"/>
      <c r="AZ2" s="2602"/>
      <c r="BA2" s="2602"/>
      <c r="BB2" s="2602"/>
      <c r="BC2" s="2602"/>
    </row>
    <row r="3" spans="1:55" ht="19.5" customHeight="1">
      <c r="A3" s="2593"/>
      <c r="B3" s="2594"/>
      <c r="C3" s="2595"/>
      <c r="D3" s="2603" t="s">
        <v>3</v>
      </c>
      <c r="E3" s="2604"/>
      <c r="F3" s="2604"/>
      <c r="G3" s="2604"/>
      <c r="H3" s="2604"/>
      <c r="I3" s="2604"/>
      <c r="J3" s="2604"/>
      <c r="K3" s="2604"/>
      <c r="L3" s="2604"/>
      <c r="M3" s="2604"/>
      <c r="N3" s="2604"/>
      <c r="O3" s="2604"/>
      <c r="P3" s="2604"/>
      <c r="Q3" s="2604"/>
      <c r="R3" s="2604"/>
      <c r="S3" s="2604"/>
      <c r="T3" s="2604"/>
      <c r="U3" s="2604"/>
      <c r="V3" s="2604"/>
      <c r="W3" s="2604"/>
      <c r="X3" s="2604"/>
      <c r="Y3" s="2604"/>
      <c r="Z3" s="2604"/>
      <c r="AA3" s="2604"/>
      <c r="AB3" s="2604"/>
      <c r="AC3" s="2604"/>
      <c r="AD3" s="2604"/>
      <c r="AE3" s="2604"/>
      <c r="AF3" s="2604"/>
      <c r="AG3" s="2604"/>
      <c r="AH3" s="2604"/>
      <c r="AI3" s="2604"/>
      <c r="AJ3" s="2604"/>
      <c r="AK3" s="2604"/>
      <c r="AL3" s="2604"/>
      <c r="AM3" s="2604"/>
      <c r="AN3" s="2604"/>
      <c r="AO3" s="2604"/>
      <c r="AP3" s="2604"/>
      <c r="AQ3" s="2604"/>
      <c r="AR3" s="2604"/>
      <c r="AS3" s="2604"/>
      <c r="AT3" s="2604"/>
      <c r="AU3" s="2604"/>
      <c r="AV3" s="2604"/>
      <c r="AW3" s="2604"/>
      <c r="AX3" s="2604"/>
      <c r="AY3" s="2604"/>
      <c r="AZ3" s="2604"/>
      <c r="BA3" s="2604"/>
      <c r="BB3" s="2604"/>
      <c r="BC3" s="2604"/>
    </row>
    <row r="4" spans="1:55" ht="21.75" customHeight="1" thickBot="1">
      <c r="A4" s="2596"/>
      <c r="B4" s="2597"/>
      <c r="C4" s="2598"/>
      <c r="D4" s="2605"/>
      <c r="E4" s="2606"/>
      <c r="F4" s="2606"/>
      <c r="G4" s="2606"/>
      <c r="H4" s="2606"/>
      <c r="I4" s="2606"/>
      <c r="J4" s="2606"/>
      <c r="K4" s="2606"/>
      <c r="L4" s="2606"/>
      <c r="M4" s="2606"/>
      <c r="N4" s="2606"/>
      <c r="O4" s="2606"/>
      <c r="P4" s="2606"/>
      <c r="Q4" s="2606"/>
      <c r="R4" s="2606"/>
      <c r="S4" s="2606"/>
      <c r="T4" s="2606"/>
      <c r="U4" s="2606"/>
      <c r="V4" s="2606"/>
      <c r="W4" s="2606"/>
      <c r="X4" s="2606"/>
      <c r="Y4" s="2606"/>
      <c r="Z4" s="2606"/>
      <c r="AA4" s="2606"/>
      <c r="AB4" s="2606"/>
      <c r="AC4" s="2606"/>
      <c r="AD4" s="2606"/>
      <c r="AE4" s="2606"/>
      <c r="AF4" s="2606"/>
      <c r="AG4" s="2606"/>
      <c r="AH4" s="2606"/>
      <c r="AI4" s="2606"/>
      <c r="AJ4" s="2606"/>
      <c r="AK4" s="2606"/>
      <c r="AL4" s="2606"/>
      <c r="AM4" s="2606"/>
      <c r="AN4" s="2606"/>
      <c r="AO4" s="2606"/>
      <c r="AP4" s="2606"/>
      <c r="AQ4" s="2606"/>
      <c r="AR4" s="2606"/>
      <c r="AS4" s="2606"/>
      <c r="AT4" s="2606"/>
      <c r="AU4" s="2606"/>
      <c r="AV4" s="2606"/>
      <c r="AW4" s="2708"/>
      <c r="AX4" s="2708"/>
      <c r="AY4" s="2708"/>
      <c r="AZ4" s="2708"/>
      <c r="BA4" s="2708"/>
      <c r="BB4" s="2708"/>
      <c r="BC4" s="2708"/>
    </row>
    <row r="5" spans="1:58" ht="20.25" customHeight="1">
      <c r="A5" s="2607" t="s">
        <v>4</v>
      </c>
      <c r="B5" s="2608"/>
      <c r="C5" s="2608"/>
      <c r="D5" s="2608"/>
      <c r="E5" s="2608"/>
      <c r="F5" s="2608"/>
      <c r="G5" s="2608"/>
      <c r="H5" s="2608"/>
      <c r="I5" s="2608"/>
      <c r="J5" s="2608"/>
      <c r="K5" s="2608"/>
      <c r="L5" s="2608"/>
      <c r="M5" s="2608"/>
      <c r="N5" s="2608"/>
      <c r="O5" s="2608"/>
      <c r="P5" s="2608"/>
      <c r="Q5" s="2608"/>
      <c r="R5" s="2608"/>
      <c r="S5" s="2608"/>
      <c r="T5" s="2608"/>
      <c r="U5" s="2608"/>
      <c r="V5" s="2608"/>
      <c r="W5" s="2608"/>
      <c r="X5" s="2608"/>
      <c r="Y5" s="2608"/>
      <c r="Z5" s="2608"/>
      <c r="AA5" s="2609"/>
      <c r="AB5" s="2610" t="s">
        <v>4</v>
      </c>
      <c r="AC5" s="2611"/>
      <c r="AD5" s="2611"/>
      <c r="AE5" s="2611"/>
      <c r="AF5" s="2611"/>
      <c r="AG5" s="2611"/>
      <c r="AH5" s="2611"/>
      <c r="AI5" s="2611"/>
      <c r="AJ5" s="2611"/>
      <c r="AK5" s="2611"/>
      <c r="AL5" s="2612"/>
      <c r="AM5" s="2616" t="s">
        <v>4</v>
      </c>
      <c r="AN5" s="2617"/>
      <c r="AO5" s="2617"/>
      <c r="AP5" s="2617"/>
      <c r="AQ5" s="2617"/>
      <c r="AR5" s="2617"/>
      <c r="AS5" s="2617"/>
      <c r="AT5" s="2617"/>
      <c r="AU5" s="2617"/>
      <c r="AV5" s="2618"/>
      <c r="AW5" s="2840" t="s">
        <v>4</v>
      </c>
      <c r="AX5" s="2841"/>
      <c r="AY5" s="2841"/>
      <c r="AZ5" s="2841"/>
      <c r="BA5" s="2841"/>
      <c r="BB5" s="2841"/>
      <c r="BC5" s="2841"/>
      <c r="BD5" s="2841"/>
      <c r="BE5" s="2841"/>
      <c r="BF5" s="2842"/>
    </row>
    <row r="6" spans="1:58" ht="15.75" customHeight="1">
      <c r="A6" s="2622" t="s">
        <v>5</v>
      </c>
      <c r="B6" s="2623"/>
      <c r="C6" s="2623"/>
      <c r="D6" s="2623"/>
      <c r="E6" s="2623"/>
      <c r="F6" s="2623"/>
      <c r="G6" s="2623"/>
      <c r="H6" s="2623"/>
      <c r="I6" s="2623"/>
      <c r="J6" s="2623"/>
      <c r="K6" s="2623"/>
      <c r="L6" s="2623"/>
      <c r="M6" s="2623"/>
      <c r="N6" s="2623"/>
      <c r="O6" s="2623"/>
      <c r="P6" s="2623"/>
      <c r="Q6" s="2623"/>
      <c r="R6" s="2623"/>
      <c r="S6" s="2623"/>
      <c r="T6" s="2623"/>
      <c r="U6" s="2623"/>
      <c r="V6" s="2623"/>
      <c r="W6" s="2623"/>
      <c r="X6" s="2623"/>
      <c r="Y6" s="2623"/>
      <c r="Z6" s="2623"/>
      <c r="AA6" s="2624"/>
      <c r="AB6" s="2613"/>
      <c r="AC6" s="2614"/>
      <c r="AD6" s="2614"/>
      <c r="AE6" s="2614"/>
      <c r="AF6" s="2614"/>
      <c r="AG6" s="2614"/>
      <c r="AH6" s="2614"/>
      <c r="AI6" s="2614"/>
      <c r="AJ6" s="2614"/>
      <c r="AK6" s="2614"/>
      <c r="AL6" s="2615"/>
      <c r="AM6" s="2619"/>
      <c r="AN6" s="2620"/>
      <c r="AO6" s="2620"/>
      <c r="AP6" s="2620"/>
      <c r="AQ6" s="2620"/>
      <c r="AR6" s="2620"/>
      <c r="AS6" s="2620"/>
      <c r="AT6" s="2620"/>
      <c r="AU6" s="2620"/>
      <c r="AV6" s="2621"/>
      <c r="AW6" s="2843"/>
      <c r="AX6" s="2844"/>
      <c r="AY6" s="2844"/>
      <c r="AZ6" s="2844"/>
      <c r="BA6" s="2844"/>
      <c r="BB6" s="2844"/>
      <c r="BC6" s="2844"/>
      <c r="BD6" s="2844"/>
      <c r="BE6" s="2844"/>
      <c r="BF6" s="2845"/>
    </row>
    <row r="7" spans="1:58" ht="15.75" customHeight="1">
      <c r="A7" s="2622"/>
      <c r="B7" s="2623"/>
      <c r="C7" s="2623"/>
      <c r="D7" s="2623"/>
      <c r="E7" s="2623"/>
      <c r="F7" s="2623"/>
      <c r="G7" s="2623"/>
      <c r="H7" s="2623"/>
      <c r="I7" s="2623"/>
      <c r="J7" s="2623"/>
      <c r="K7" s="2623"/>
      <c r="L7" s="2623"/>
      <c r="M7" s="2623"/>
      <c r="N7" s="2623"/>
      <c r="O7" s="2623"/>
      <c r="P7" s="2623"/>
      <c r="Q7" s="2623"/>
      <c r="R7" s="2623"/>
      <c r="S7" s="2623"/>
      <c r="T7" s="2623"/>
      <c r="U7" s="2623"/>
      <c r="V7" s="2623"/>
      <c r="W7" s="2623"/>
      <c r="X7" s="2623"/>
      <c r="Y7" s="2623"/>
      <c r="Z7" s="2623"/>
      <c r="AA7" s="2624"/>
      <c r="AB7" s="2625" t="s">
        <v>2452</v>
      </c>
      <c r="AC7" s="2626"/>
      <c r="AD7" s="2626"/>
      <c r="AE7" s="2626"/>
      <c r="AF7" s="2626"/>
      <c r="AG7" s="2626"/>
      <c r="AH7" s="2626"/>
      <c r="AI7" s="2626"/>
      <c r="AJ7" s="2626"/>
      <c r="AK7" s="2626"/>
      <c r="AL7" s="2627"/>
      <c r="AM7" s="2631" t="s">
        <v>2451</v>
      </c>
      <c r="AN7" s="2632"/>
      <c r="AO7" s="2632"/>
      <c r="AP7" s="2632"/>
      <c r="AQ7" s="2632"/>
      <c r="AR7" s="2632"/>
      <c r="AS7" s="2632"/>
      <c r="AT7" s="2632"/>
      <c r="AU7" s="2632"/>
      <c r="AV7" s="2633"/>
      <c r="AW7" s="2843"/>
      <c r="AX7" s="2844"/>
      <c r="AY7" s="2844"/>
      <c r="AZ7" s="2844"/>
      <c r="BA7" s="2844"/>
      <c r="BB7" s="2844"/>
      <c r="BC7" s="2844"/>
      <c r="BD7" s="2844"/>
      <c r="BE7" s="2844"/>
      <c r="BF7" s="2845"/>
    </row>
    <row r="8" spans="1:58" ht="15.75" customHeight="1">
      <c r="A8" s="2622" t="s">
        <v>6</v>
      </c>
      <c r="B8" s="2623"/>
      <c r="C8" s="2623"/>
      <c r="D8" s="2623"/>
      <c r="E8" s="2623"/>
      <c r="F8" s="2623"/>
      <c r="G8" s="2623"/>
      <c r="H8" s="2623"/>
      <c r="I8" s="2623"/>
      <c r="J8" s="2623"/>
      <c r="K8" s="2623"/>
      <c r="L8" s="2623"/>
      <c r="M8" s="2623"/>
      <c r="N8" s="2623"/>
      <c r="O8" s="2623"/>
      <c r="P8" s="2623"/>
      <c r="Q8" s="2623"/>
      <c r="R8" s="2623"/>
      <c r="S8" s="2623"/>
      <c r="T8" s="2623"/>
      <c r="U8" s="2623"/>
      <c r="V8" s="2623"/>
      <c r="W8" s="2623"/>
      <c r="X8" s="2623"/>
      <c r="Y8" s="2623"/>
      <c r="Z8" s="2623"/>
      <c r="AA8" s="2624"/>
      <c r="AB8" s="2625"/>
      <c r="AC8" s="2626"/>
      <c r="AD8" s="2626"/>
      <c r="AE8" s="2626"/>
      <c r="AF8" s="2626"/>
      <c r="AG8" s="2626"/>
      <c r="AH8" s="2626"/>
      <c r="AI8" s="2626"/>
      <c r="AJ8" s="2626"/>
      <c r="AK8" s="2626"/>
      <c r="AL8" s="2627"/>
      <c r="AM8" s="2631"/>
      <c r="AN8" s="2632"/>
      <c r="AO8" s="2632"/>
      <c r="AP8" s="2632"/>
      <c r="AQ8" s="2632"/>
      <c r="AR8" s="2632"/>
      <c r="AS8" s="2632"/>
      <c r="AT8" s="2632"/>
      <c r="AU8" s="2632"/>
      <c r="AV8" s="2633"/>
      <c r="AW8" s="2843"/>
      <c r="AX8" s="2844"/>
      <c r="AY8" s="2844"/>
      <c r="AZ8" s="2844"/>
      <c r="BA8" s="2844"/>
      <c r="BB8" s="2844"/>
      <c r="BC8" s="2844"/>
      <c r="BD8" s="2844"/>
      <c r="BE8" s="2844"/>
      <c r="BF8" s="2845"/>
    </row>
    <row r="9" spans="1:58" ht="15.75" customHeight="1" thickBot="1">
      <c r="A9" s="2638">
        <v>2015</v>
      </c>
      <c r="B9" s="2639"/>
      <c r="C9" s="2639"/>
      <c r="D9" s="2639"/>
      <c r="E9" s="2639"/>
      <c r="F9" s="2639"/>
      <c r="G9" s="2639"/>
      <c r="H9" s="2639"/>
      <c r="I9" s="2639"/>
      <c r="J9" s="2639"/>
      <c r="K9" s="2639"/>
      <c r="L9" s="2639"/>
      <c r="M9" s="2639"/>
      <c r="N9" s="2639"/>
      <c r="O9" s="2639"/>
      <c r="P9" s="2639"/>
      <c r="Q9" s="2639"/>
      <c r="R9" s="2639"/>
      <c r="S9" s="2639"/>
      <c r="T9" s="2639"/>
      <c r="U9" s="2639"/>
      <c r="V9" s="2639"/>
      <c r="W9" s="2639"/>
      <c r="X9" s="2639"/>
      <c r="Y9" s="2639"/>
      <c r="Z9" s="2639"/>
      <c r="AA9" s="2640"/>
      <c r="AB9" s="2628"/>
      <c r="AC9" s="2629"/>
      <c r="AD9" s="2629"/>
      <c r="AE9" s="2629"/>
      <c r="AF9" s="2629"/>
      <c r="AG9" s="2629"/>
      <c r="AH9" s="2629"/>
      <c r="AI9" s="2629"/>
      <c r="AJ9" s="2629"/>
      <c r="AK9" s="2629"/>
      <c r="AL9" s="2630"/>
      <c r="AM9" s="2634"/>
      <c r="AN9" s="2635"/>
      <c r="AO9" s="2635"/>
      <c r="AP9" s="2635"/>
      <c r="AQ9" s="2635"/>
      <c r="AR9" s="2635"/>
      <c r="AS9" s="2635"/>
      <c r="AT9" s="2635"/>
      <c r="AU9" s="2635"/>
      <c r="AV9" s="2636"/>
      <c r="AW9" s="2846"/>
      <c r="AX9" s="2847"/>
      <c r="AY9" s="2847"/>
      <c r="AZ9" s="2847"/>
      <c r="BA9" s="2847"/>
      <c r="BB9" s="2847"/>
      <c r="BC9" s="2847"/>
      <c r="BD9" s="2847"/>
      <c r="BE9" s="2847"/>
      <c r="BF9" s="2848"/>
    </row>
    <row r="10" spans="1:55" ht="9" customHeight="1" thickBot="1">
      <c r="A10" s="3"/>
      <c r="B10" s="4"/>
      <c r="C10" s="3"/>
      <c r="D10" s="3"/>
      <c r="E10" s="3"/>
      <c r="F10" s="237"/>
      <c r="G10" s="3"/>
      <c r="H10" s="3"/>
      <c r="I10" s="238"/>
      <c r="J10" s="3"/>
      <c r="K10" s="239"/>
      <c r="L10" s="239"/>
      <c r="M10" s="3"/>
      <c r="N10" s="3"/>
      <c r="O10" s="3"/>
      <c r="P10" s="3"/>
      <c r="Q10" s="3"/>
      <c r="R10" s="3"/>
      <c r="S10" s="3"/>
      <c r="T10" s="3"/>
      <c r="U10" s="3"/>
      <c r="V10" s="3"/>
      <c r="W10" s="3"/>
      <c r="X10" s="3"/>
      <c r="Y10" s="240"/>
      <c r="Z10" s="241"/>
      <c r="AA10" s="3"/>
      <c r="AB10" s="1339"/>
      <c r="AC10" s="1563"/>
      <c r="AD10" s="1505"/>
      <c r="AE10" s="1306"/>
      <c r="AF10" s="1306"/>
      <c r="AG10" s="1306"/>
      <c r="AH10" s="1339"/>
      <c r="AI10" s="1339"/>
      <c r="AJ10" s="1339"/>
      <c r="AK10" s="1339"/>
      <c r="AL10" s="1339"/>
      <c r="AM10"/>
      <c r="AN10"/>
      <c r="AO10"/>
      <c r="AP10"/>
      <c r="AQ10"/>
      <c r="AR10"/>
      <c r="AS10"/>
      <c r="AT10"/>
      <c r="AU10"/>
      <c r="AV10"/>
      <c r="AW10"/>
      <c r="AX10"/>
      <c r="AY10"/>
      <c r="AZ10"/>
      <c r="BA10"/>
      <c r="BB10"/>
      <c r="BC10"/>
    </row>
    <row r="11" spans="1:58" s="3" customFormat="1" ht="21" customHeight="1" thickBot="1">
      <c r="A11" s="2641" t="s">
        <v>7</v>
      </c>
      <c r="B11" s="2641"/>
      <c r="C11" s="2641"/>
      <c r="D11" s="2641"/>
      <c r="E11" s="2642" t="s">
        <v>786</v>
      </c>
      <c r="F11" s="2643"/>
      <c r="G11" s="2643"/>
      <c r="H11" s="2643"/>
      <c r="I11" s="2643"/>
      <c r="J11" s="2643"/>
      <c r="K11" s="2643"/>
      <c r="L11" s="2643"/>
      <c r="M11" s="2643"/>
      <c r="N11" s="2643"/>
      <c r="O11" s="2643"/>
      <c r="P11" s="2643"/>
      <c r="Q11" s="2643"/>
      <c r="R11" s="2643"/>
      <c r="S11" s="2643"/>
      <c r="T11" s="2643"/>
      <c r="U11" s="2643"/>
      <c r="V11" s="2643"/>
      <c r="W11" s="2643"/>
      <c r="X11" s="2643"/>
      <c r="Y11" s="2643"/>
      <c r="Z11" s="2643"/>
      <c r="AA11" s="2644"/>
      <c r="AB11" s="2637" t="s">
        <v>786</v>
      </c>
      <c r="AC11" s="2637"/>
      <c r="AD11" s="2637"/>
      <c r="AE11" s="2637"/>
      <c r="AF11" s="2637"/>
      <c r="AG11" s="2637"/>
      <c r="AH11" s="2637"/>
      <c r="AI11" s="2637"/>
      <c r="AJ11" s="2637"/>
      <c r="AK11" s="2637"/>
      <c r="AL11" s="2637"/>
      <c r="AM11" s="2637" t="s">
        <v>786</v>
      </c>
      <c r="AN11" s="2637"/>
      <c r="AO11" s="2637"/>
      <c r="AP11" s="2637"/>
      <c r="AQ11" s="2637"/>
      <c r="AR11" s="2637"/>
      <c r="AS11" s="2637"/>
      <c r="AT11" s="2637"/>
      <c r="AU11" s="2637"/>
      <c r="AV11" s="2637"/>
      <c r="AW11" s="2642" t="s">
        <v>786</v>
      </c>
      <c r="AX11" s="2643"/>
      <c r="AY11" s="2643"/>
      <c r="AZ11" s="2643"/>
      <c r="BA11" s="2643"/>
      <c r="BB11" s="2643"/>
      <c r="BC11" s="2643"/>
      <c r="BD11" s="2643"/>
      <c r="BE11" s="2643"/>
      <c r="BF11" s="2644"/>
    </row>
    <row r="12" spans="2:38" s="13" customFormat="1" ht="9.95" customHeight="1" thickBot="1">
      <c r="B12" s="14"/>
      <c r="F12" s="243"/>
      <c r="I12" s="244"/>
      <c r="K12" s="245"/>
      <c r="L12" s="245"/>
      <c r="Y12" s="246"/>
      <c r="Z12" s="247"/>
      <c r="AB12" s="1340"/>
      <c r="AC12" s="1564"/>
      <c r="AD12" s="1506"/>
      <c r="AE12" s="1307"/>
      <c r="AF12" s="1307"/>
      <c r="AG12" s="1307"/>
      <c r="AH12" s="1340"/>
      <c r="AI12" s="1340"/>
      <c r="AJ12" s="1340"/>
      <c r="AK12" s="1340"/>
      <c r="AL12" s="1340"/>
    </row>
    <row r="13" spans="1:68" s="4" customFormat="1" ht="21" customHeight="1" thickBot="1">
      <c r="A13" s="2645" t="s">
        <v>9</v>
      </c>
      <c r="B13" s="2646"/>
      <c r="C13" s="2646"/>
      <c r="D13" s="2647"/>
      <c r="E13" s="2648" t="s">
        <v>554</v>
      </c>
      <c r="F13" s="2649"/>
      <c r="G13" s="2649"/>
      <c r="H13" s="2649"/>
      <c r="I13" s="2649"/>
      <c r="J13" s="2649"/>
      <c r="K13" s="2649"/>
      <c r="L13" s="2649"/>
      <c r="M13" s="2649"/>
      <c r="N13" s="2649"/>
      <c r="O13" s="2649"/>
      <c r="P13" s="2649"/>
      <c r="Q13" s="2649"/>
      <c r="R13" s="2649"/>
      <c r="S13" s="2649"/>
      <c r="T13" s="2649"/>
      <c r="U13" s="2649"/>
      <c r="V13" s="2649"/>
      <c r="W13" s="2649"/>
      <c r="X13" s="2649"/>
      <c r="Y13" s="2649"/>
      <c r="Z13" s="2649"/>
      <c r="AA13" s="2650"/>
      <c r="AB13" s="2651" t="s">
        <v>554</v>
      </c>
      <c r="AC13" s="2651"/>
      <c r="AD13" s="2651"/>
      <c r="AE13" s="2651"/>
      <c r="AF13" s="2651"/>
      <c r="AG13" s="2651"/>
      <c r="AH13" s="2651"/>
      <c r="AI13" s="2651"/>
      <c r="AJ13" s="2651"/>
      <c r="AK13" s="2651"/>
      <c r="AL13" s="2651"/>
      <c r="AM13" s="2651" t="s">
        <v>554</v>
      </c>
      <c r="AN13" s="2651"/>
      <c r="AO13" s="2651"/>
      <c r="AP13" s="2651"/>
      <c r="AQ13" s="2651"/>
      <c r="AR13" s="2651"/>
      <c r="AS13" s="2651"/>
      <c r="AT13" s="2651"/>
      <c r="AU13" s="2651"/>
      <c r="AV13" s="2651"/>
      <c r="AW13" s="2648" t="s">
        <v>554</v>
      </c>
      <c r="AX13" s="2649"/>
      <c r="AY13" s="2649"/>
      <c r="AZ13" s="2649"/>
      <c r="BA13" s="2649"/>
      <c r="BB13" s="2649"/>
      <c r="BC13" s="2649"/>
      <c r="BD13" s="2649"/>
      <c r="BE13" s="2649"/>
      <c r="BF13" s="2650"/>
      <c r="BG13" s="2851" t="s">
        <v>554</v>
      </c>
      <c r="BH13" s="2852"/>
      <c r="BI13" s="2852"/>
      <c r="BJ13" s="2852"/>
      <c r="BK13" s="2852"/>
      <c r="BL13" s="2852"/>
      <c r="BM13" s="2852"/>
      <c r="BN13" s="2852"/>
      <c r="BO13" s="2852"/>
      <c r="BP13" s="2853"/>
    </row>
    <row r="14" spans="2:38" s="13" customFormat="1" ht="9.95" customHeight="1" thickBot="1">
      <c r="B14" s="14"/>
      <c r="F14" s="243"/>
      <c r="I14" s="244"/>
      <c r="K14" s="245"/>
      <c r="L14" s="245"/>
      <c r="Y14" s="246"/>
      <c r="Z14" s="247"/>
      <c r="AB14" s="1340" t="s">
        <v>1607</v>
      </c>
      <c r="AC14" s="1564"/>
      <c r="AD14" s="1506"/>
      <c r="AE14" s="1307"/>
      <c r="AF14" s="1307"/>
      <c r="AG14" s="1307"/>
      <c r="AH14" s="1340"/>
      <c r="AI14" s="1340"/>
      <c r="AJ14" s="1340"/>
      <c r="AK14" s="1340"/>
      <c r="AL14" s="1340"/>
    </row>
    <row r="15" spans="1:68" s="35" customFormat="1" ht="39" thickBot="1">
      <c r="A15" s="22" t="s">
        <v>11</v>
      </c>
      <c r="B15" s="23" t="s">
        <v>12</v>
      </c>
      <c r="C15" s="22" t="s">
        <v>13</v>
      </c>
      <c r="D15" s="249" t="s">
        <v>14</v>
      </c>
      <c r="E15" s="24" t="s">
        <v>15</v>
      </c>
      <c r="F15" s="25" t="s">
        <v>16</v>
      </c>
      <c r="G15" s="26" t="s">
        <v>17</v>
      </c>
      <c r="H15" s="26" t="s">
        <v>18</v>
      </c>
      <c r="I15" s="27" t="s">
        <v>19</v>
      </c>
      <c r="J15" s="26" t="s">
        <v>20</v>
      </c>
      <c r="K15" s="26" t="s">
        <v>21</v>
      </c>
      <c r="L15" s="26" t="s">
        <v>22</v>
      </c>
      <c r="M15" s="28" t="s">
        <v>23</v>
      </c>
      <c r="N15" s="28" t="s">
        <v>24</v>
      </c>
      <c r="O15" s="28" t="s">
        <v>25</v>
      </c>
      <c r="P15" s="28" t="s">
        <v>26</v>
      </c>
      <c r="Q15" s="28" t="s">
        <v>27</v>
      </c>
      <c r="R15" s="28" t="s">
        <v>28</v>
      </c>
      <c r="S15" s="28" t="s">
        <v>29</v>
      </c>
      <c r="T15" s="28" t="s">
        <v>30</v>
      </c>
      <c r="U15" s="28" t="s">
        <v>31</v>
      </c>
      <c r="V15" s="28" t="s">
        <v>32</v>
      </c>
      <c r="W15" s="28" t="s">
        <v>33</v>
      </c>
      <c r="X15" s="28" t="s">
        <v>34</v>
      </c>
      <c r="Y15" s="29" t="s">
        <v>35</v>
      </c>
      <c r="Z15" s="26" t="s">
        <v>36</v>
      </c>
      <c r="AA15" s="31" t="s">
        <v>37</v>
      </c>
      <c r="AB15" s="1322" t="s">
        <v>38</v>
      </c>
      <c r="AC15" s="1631" t="s">
        <v>1781</v>
      </c>
      <c r="AD15" s="1508" t="s">
        <v>39</v>
      </c>
      <c r="AE15" s="1614" t="s">
        <v>1821</v>
      </c>
      <c r="AF15" s="1614" t="s">
        <v>1822</v>
      </c>
      <c r="AG15" s="1613" t="s">
        <v>1783</v>
      </c>
      <c r="AH15" s="1322" t="s">
        <v>40</v>
      </c>
      <c r="AI15" s="1322" t="s">
        <v>41</v>
      </c>
      <c r="AJ15" s="1322" t="s">
        <v>42</v>
      </c>
      <c r="AK15" s="1322" t="s">
        <v>43</v>
      </c>
      <c r="AL15" s="1322" t="s">
        <v>44</v>
      </c>
      <c r="AM15" s="33" t="s">
        <v>45</v>
      </c>
      <c r="AN15" s="33" t="s">
        <v>1781</v>
      </c>
      <c r="AO15" s="33" t="s">
        <v>46</v>
      </c>
      <c r="AP15" s="33" t="s">
        <v>2193</v>
      </c>
      <c r="AQ15" s="33" t="s">
        <v>1822</v>
      </c>
      <c r="AR15" s="33" t="s">
        <v>2164</v>
      </c>
      <c r="AS15" s="33" t="s">
        <v>41</v>
      </c>
      <c r="AT15" s="33" t="s">
        <v>42</v>
      </c>
      <c r="AU15" s="33" t="s">
        <v>43</v>
      </c>
      <c r="AV15" s="33" t="s">
        <v>44</v>
      </c>
      <c r="AW15" s="1983" t="s">
        <v>47</v>
      </c>
      <c r="AX15" s="1983" t="s">
        <v>1781</v>
      </c>
      <c r="AY15" s="1983" t="s">
        <v>48</v>
      </c>
      <c r="AZ15" s="1983" t="s">
        <v>2453</v>
      </c>
      <c r="BA15" s="1983" t="s">
        <v>1822</v>
      </c>
      <c r="BB15" s="1983" t="s">
        <v>2698</v>
      </c>
      <c r="BC15" s="1983" t="s">
        <v>41</v>
      </c>
      <c r="BD15" s="1983" t="s">
        <v>42</v>
      </c>
      <c r="BE15" s="1983" t="s">
        <v>43</v>
      </c>
      <c r="BF15" s="1983" t="s">
        <v>44</v>
      </c>
      <c r="BG15" s="2079" t="s">
        <v>49</v>
      </c>
      <c r="BH15" s="2079" t="s">
        <v>1781</v>
      </c>
      <c r="BI15" s="2079" t="s">
        <v>50</v>
      </c>
      <c r="BJ15" s="2079" t="s">
        <v>2946</v>
      </c>
      <c r="BK15" s="2079" t="s">
        <v>1822</v>
      </c>
      <c r="BL15" s="2079" t="s">
        <v>2947</v>
      </c>
      <c r="BM15" s="2079" t="s">
        <v>41</v>
      </c>
      <c r="BN15" s="2079" t="s">
        <v>42</v>
      </c>
      <c r="BO15" s="2079" t="s">
        <v>43</v>
      </c>
      <c r="BP15" s="2479" t="s">
        <v>44</v>
      </c>
    </row>
    <row r="16" spans="1:68" s="49" customFormat="1" ht="39" thickBot="1">
      <c r="A16" s="2658">
        <v>1</v>
      </c>
      <c r="B16" s="2658" t="s">
        <v>628</v>
      </c>
      <c r="C16" s="2777" t="s">
        <v>787</v>
      </c>
      <c r="D16" s="250" t="s">
        <v>788</v>
      </c>
      <c r="E16" s="65" t="s">
        <v>72</v>
      </c>
      <c r="F16" s="65">
        <v>1</v>
      </c>
      <c r="G16" s="65" t="s">
        <v>789</v>
      </c>
      <c r="H16" s="65" t="s">
        <v>1483</v>
      </c>
      <c r="I16" s="251">
        <v>0.14285714285714288</v>
      </c>
      <c r="J16" s="65" t="s">
        <v>790</v>
      </c>
      <c r="K16" s="67">
        <v>42009</v>
      </c>
      <c r="L16" s="67">
        <v>42277</v>
      </c>
      <c r="M16" s="114"/>
      <c r="N16" s="114"/>
      <c r="O16" s="114"/>
      <c r="P16" s="114"/>
      <c r="Q16" s="114"/>
      <c r="R16" s="115"/>
      <c r="S16" s="115"/>
      <c r="T16" s="114"/>
      <c r="U16" s="115"/>
      <c r="V16" s="115"/>
      <c r="W16" s="115"/>
      <c r="X16" s="1849">
        <v>1</v>
      </c>
      <c r="Y16" s="121">
        <f aca="true" t="shared" si="0" ref="Y16:Y21">SUM(M16:X16)</f>
        <v>1</v>
      </c>
      <c r="Z16" s="75">
        <v>150000000</v>
      </c>
      <c r="AA16" s="116" t="s">
        <v>791</v>
      </c>
      <c r="AB16" s="1378">
        <f>SUM(M16:N16)</f>
        <v>0</v>
      </c>
      <c r="AC16" s="1371">
        <f>IF(AB16=0,0%,100%)</f>
        <v>0</v>
      </c>
      <c r="AD16" s="1509">
        <v>0</v>
      </c>
      <c r="AE16" s="1311" t="s">
        <v>1090</v>
      </c>
      <c r="AF16" s="1311">
        <f>AD16/Y16</f>
        <v>0</v>
      </c>
      <c r="AG16" s="1311">
        <f>AF16</f>
        <v>0</v>
      </c>
      <c r="AH16" s="1371"/>
      <c r="AI16" s="1378"/>
      <c r="AJ16" s="1371"/>
      <c r="AK16" s="1378"/>
      <c r="AL16" s="1378"/>
      <c r="AM16" s="1692">
        <f>SUM(M16:P16)</f>
        <v>0</v>
      </c>
      <c r="AN16" s="1699">
        <f aca="true" t="shared" si="1" ref="AN16:AN22">IF(AM16=0,0%,100%)</f>
        <v>0</v>
      </c>
      <c r="AO16" s="1697">
        <v>0</v>
      </c>
      <c r="AP16" s="1699" t="s">
        <v>1090</v>
      </c>
      <c r="AQ16" s="1699">
        <f>AO16/Y16</f>
        <v>0</v>
      </c>
      <c r="AR16" s="1699">
        <v>0</v>
      </c>
      <c r="AS16" s="1692"/>
      <c r="AT16" s="1692"/>
      <c r="AU16" s="1692" t="s">
        <v>2350</v>
      </c>
      <c r="AV16" s="1692"/>
      <c r="AW16" s="2084">
        <f>SUM(M16:R16)</f>
        <v>0</v>
      </c>
      <c r="AX16" s="2085">
        <f aca="true" t="shared" si="2" ref="AX16:AX22">IF(AW16=0,0%,100%)</f>
        <v>0</v>
      </c>
      <c r="AY16" s="2084">
        <v>0</v>
      </c>
      <c r="AZ16" s="2085" t="s">
        <v>1090</v>
      </c>
      <c r="BA16" s="2085">
        <v>0</v>
      </c>
      <c r="BB16" s="2085">
        <v>0</v>
      </c>
      <c r="BC16" s="1989"/>
      <c r="BD16" s="1989"/>
      <c r="BE16" s="101"/>
      <c r="BF16" s="101"/>
      <c r="BG16" s="2339">
        <f>SUM(M16:T16)</f>
        <v>0</v>
      </c>
      <c r="BH16" s="2373">
        <f aca="true" t="shared" si="3" ref="BH16:BH22">IF(BG16=0,0%,100%)</f>
        <v>0</v>
      </c>
      <c r="BI16" s="2339" t="s">
        <v>1090</v>
      </c>
      <c r="BJ16" s="2373" t="s">
        <v>1090</v>
      </c>
      <c r="BK16" s="2373"/>
      <c r="BL16" s="2373">
        <v>0</v>
      </c>
      <c r="BM16" s="2337"/>
      <c r="BN16" s="2337"/>
      <c r="BO16" s="2378" t="s">
        <v>3060</v>
      </c>
      <c r="BP16" s="2408"/>
    </row>
    <row r="17" spans="1:68" s="2125" customFormat="1" ht="98.25" customHeight="1" thickBot="1">
      <c r="A17" s="2655"/>
      <c r="B17" s="2655"/>
      <c r="C17" s="2657"/>
      <c r="D17" s="2141" t="s">
        <v>792</v>
      </c>
      <c r="E17" s="2138" t="s">
        <v>331</v>
      </c>
      <c r="F17" s="2138">
        <v>1</v>
      </c>
      <c r="G17" s="2138" t="s">
        <v>793</v>
      </c>
      <c r="H17" s="2138" t="s">
        <v>1483</v>
      </c>
      <c r="I17" s="2142">
        <v>0.14285714285714288</v>
      </c>
      <c r="J17" s="2138" t="s">
        <v>794</v>
      </c>
      <c r="K17" s="2112">
        <v>42156</v>
      </c>
      <c r="L17" s="2112">
        <v>42358</v>
      </c>
      <c r="M17" s="118"/>
      <c r="N17" s="118"/>
      <c r="O17" s="118"/>
      <c r="P17" s="118"/>
      <c r="Q17" s="118"/>
      <c r="R17" s="120"/>
      <c r="S17" s="120"/>
      <c r="T17" s="118"/>
      <c r="U17" s="120"/>
      <c r="V17" s="120"/>
      <c r="W17" s="120"/>
      <c r="X17" s="120">
        <v>1</v>
      </c>
      <c r="Y17" s="2098">
        <v>1</v>
      </c>
      <c r="Z17" s="2143">
        <v>59456620</v>
      </c>
      <c r="AA17" s="278" t="s">
        <v>791</v>
      </c>
      <c r="AB17" s="2117">
        <f aca="true" t="shared" si="4" ref="AB17:AB21">SUM(M17:N17)</f>
        <v>0</v>
      </c>
      <c r="AC17" s="2118">
        <f aca="true" t="shared" si="5" ref="AC17:AC22">IF(AB17=0,0%,100%)</f>
        <v>0</v>
      </c>
      <c r="AD17" s="2119">
        <v>0</v>
      </c>
      <c r="AE17" s="2120" t="s">
        <v>1090</v>
      </c>
      <c r="AF17" s="2120">
        <f aca="true" t="shared" si="6" ref="AF17:AF21">AD17/Y17</f>
        <v>0</v>
      </c>
      <c r="AG17" s="2120">
        <f aca="true" t="shared" si="7" ref="AG17:AG22">AF17</f>
        <v>0</v>
      </c>
      <c r="AH17" s="2118"/>
      <c r="AI17" s="2117"/>
      <c r="AJ17" s="2118"/>
      <c r="AK17" s="2117"/>
      <c r="AL17" s="2117"/>
      <c r="AM17" s="2121">
        <f aca="true" t="shared" si="8" ref="AM17:AM22">SUM(M17:P17)</f>
        <v>0</v>
      </c>
      <c r="AN17" s="2122">
        <f t="shared" si="1"/>
        <v>0</v>
      </c>
      <c r="AO17" s="2123">
        <v>0</v>
      </c>
      <c r="AP17" s="2122" t="s">
        <v>1090</v>
      </c>
      <c r="AQ17" s="2122">
        <f aca="true" t="shared" si="9" ref="AQ17:AQ21">AO17/Y17</f>
        <v>0</v>
      </c>
      <c r="AR17" s="2122">
        <v>0</v>
      </c>
      <c r="AS17" s="2121"/>
      <c r="AT17" s="2121"/>
      <c r="AU17" s="2121" t="s">
        <v>2351</v>
      </c>
      <c r="AV17" s="2121"/>
      <c r="AW17" s="2084">
        <f aca="true" t="shared" si="10" ref="AW17:AW22">SUM(M17:R17)</f>
        <v>0</v>
      </c>
      <c r="AX17" s="2085">
        <f t="shared" si="2"/>
        <v>0</v>
      </c>
      <c r="AY17" s="2084">
        <v>0</v>
      </c>
      <c r="AZ17" s="2085" t="s">
        <v>1090</v>
      </c>
      <c r="BA17" s="2085">
        <v>0</v>
      </c>
      <c r="BB17" s="2085" t="s">
        <v>1090</v>
      </c>
      <c r="BC17" s="1989"/>
      <c r="BD17" s="1989"/>
      <c r="BE17" s="2124"/>
      <c r="BF17" s="2124"/>
      <c r="BG17" s="2339">
        <f aca="true" t="shared" si="11" ref="BG17:BG22">SUM(M17:T17)</f>
        <v>0</v>
      </c>
      <c r="BH17" s="2373">
        <f t="shared" si="3"/>
        <v>0</v>
      </c>
      <c r="BI17" s="2339" t="s">
        <v>1090</v>
      </c>
      <c r="BJ17" s="2373" t="s">
        <v>1090</v>
      </c>
      <c r="BK17" s="2373"/>
      <c r="BL17" s="2373">
        <v>0</v>
      </c>
      <c r="BM17" s="2337"/>
      <c r="BN17" s="2337"/>
      <c r="BO17" s="2378" t="s">
        <v>3060</v>
      </c>
      <c r="BP17" s="2409"/>
    </row>
    <row r="18" spans="1:68" s="49" customFormat="1" ht="140.25" customHeight="1" thickBot="1">
      <c r="A18" s="2655"/>
      <c r="B18" s="2655"/>
      <c r="C18" s="2657"/>
      <c r="D18" s="250" t="s">
        <v>795</v>
      </c>
      <c r="E18" s="65" t="s">
        <v>796</v>
      </c>
      <c r="F18" s="65">
        <v>2</v>
      </c>
      <c r="G18" s="65" t="s">
        <v>796</v>
      </c>
      <c r="H18" s="65" t="s">
        <v>2800</v>
      </c>
      <c r="I18" s="251">
        <v>0.14285714285714288</v>
      </c>
      <c r="J18" s="65" t="s">
        <v>797</v>
      </c>
      <c r="K18" s="67">
        <v>42005</v>
      </c>
      <c r="L18" s="67">
        <v>42353</v>
      </c>
      <c r="M18" s="280"/>
      <c r="N18" s="280"/>
      <c r="O18" s="280"/>
      <c r="P18" s="280"/>
      <c r="Q18" s="280"/>
      <c r="R18" s="280"/>
      <c r="S18" s="280"/>
      <c r="T18" s="281"/>
      <c r="U18" s="282"/>
      <c r="V18" s="115"/>
      <c r="W18" s="115"/>
      <c r="X18" s="1849">
        <v>2</v>
      </c>
      <c r="Y18" s="121">
        <f t="shared" si="0"/>
        <v>2</v>
      </c>
      <c r="Z18" s="75">
        <v>0</v>
      </c>
      <c r="AA18" s="611" t="s">
        <v>1090</v>
      </c>
      <c r="AB18" s="1378">
        <f t="shared" si="4"/>
        <v>0</v>
      </c>
      <c r="AC18" s="1371">
        <f t="shared" si="5"/>
        <v>0</v>
      </c>
      <c r="AD18" s="1509">
        <v>0</v>
      </c>
      <c r="AE18" s="1311" t="s">
        <v>1090</v>
      </c>
      <c r="AF18" s="1311">
        <f t="shared" si="6"/>
        <v>0</v>
      </c>
      <c r="AG18" s="1311">
        <f t="shared" si="7"/>
        <v>0</v>
      </c>
      <c r="AH18" s="1371"/>
      <c r="AI18" s="1378"/>
      <c r="AJ18" s="1371"/>
      <c r="AK18" s="1378"/>
      <c r="AL18" s="1378"/>
      <c r="AM18" s="1692">
        <f t="shared" si="8"/>
        <v>0</v>
      </c>
      <c r="AN18" s="1699">
        <f t="shared" si="1"/>
        <v>0</v>
      </c>
      <c r="AO18" s="1697">
        <v>0</v>
      </c>
      <c r="AP18" s="1699" t="s">
        <v>1090</v>
      </c>
      <c r="AQ18" s="1699">
        <f t="shared" si="9"/>
        <v>0</v>
      </c>
      <c r="AR18" s="1699">
        <v>0</v>
      </c>
      <c r="AS18" s="1692"/>
      <c r="AT18" s="1692"/>
      <c r="AU18" s="1692" t="s">
        <v>2352</v>
      </c>
      <c r="AV18" s="1692"/>
      <c r="AW18" s="2084">
        <f t="shared" si="10"/>
        <v>0</v>
      </c>
      <c r="AX18" s="2085">
        <f t="shared" si="2"/>
        <v>0</v>
      </c>
      <c r="AY18" s="2084">
        <v>0</v>
      </c>
      <c r="AZ18" s="2085" t="s">
        <v>1090</v>
      </c>
      <c r="BA18" s="2085">
        <v>0</v>
      </c>
      <c r="BB18" s="2085">
        <v>0</v>
      </c>
      <c r="BC18" s="1989"/>
      <c r="BD18" s="1989"/>
      <c r="BE18" s="101"/>
      <c r="BF18" s="101"/>
      <c r="BG18" s="2339">
        <f t="shared" si="11"/>
        <v>0</v>
      </c>
      <c r="BH18" s="2373">
        <f t="shared" si="3"/>
        <v>0</v>
      </c>
      <c r="BI18" s="2339" t="s">
        <v>1090</v>
      </c>
      <c r="BJ18" s="2373" t="s">
        <v>1090</v>
      </c>
      <c r="BK18" s="2373"/>
      <c r="BL18" s="2373">
        <v>0</v>
      </c>
      <c r="BM18" s="2337"/>
      <c r="BN18" s="2337"/>
      <c r="BO18" s="2378" t="s">
        <v>3060</v>
      </c>
      <c r="BP18" s="2408"/>
    </row>
    <row r="19" spans="1:68" s="49" customFormat="1" ht="106.5" customHeight="1" thickBot="1">
      <c r="A19" s="2655"/>
      <c r="B19" s="2655"/>
      <c r="C19" s="2656" t="s">
        <v>798</v>
      </c>
      <c r="D19" s="250" t="s">
        <v>799</v>
      </c>
      <c r="E19" s="309" t="s">
        <v>216</v>
      </c>
      <c r="F19" s="2101">
        <v>1</v>
      </c>
      <c r="G19" s="309" t="s">
        <v>800</v>
      </c>
      <c r="H19" s="309" t="s">
        <v>801</v>
      </c>
      <c r="I19" s="251">
        <v>0.14285714285714288</v>
      </c>
      <c r="J19" s="309" t="s">
        <v>802</v>
      </c>
      <c r="K19" s="67">
        <v>42005</v>
      </c>
      <c r="L19" s="68">
        <v>42369</v>
      </c>
      <c r="M19" s="280"/>
      <c r="N19" s="280"/>
      <c r="O19" s="280"/>
      <c r="P19" s="280"/>
      <c r="Q19" s="280"/>
      <c r="R19" s="280"/>
      <c r="S19" s="280"/>
      <c r="T19" s="281"/>
      <c r="U19" s="282"/>
      <c r="V19" s="115"/>
      <c r="W19" s="115"/>
      <c r="X19" s="1849">
        <v>1</v>
      </c>
      <c r="Y19" s="2165">
        <v>1</v>
      </c>
      <c r="Z19" s="75">
        <v>0</v>
      </c>
      <c r="AA19" s="611" t="s">
        <v>1090</v>
      </c>
      <c r="AB19" s="1378">
        <f t="shared" si="4"/>
        <v>0</v>
      </c>
      <c r="AC19" s="1371">
        <f t="shared" si="5"/>
        <v>0</v>
      </c>
      <c r="AD19" s="1509">
        <v>0</v>
      </c>
      <c r="AE19" s="1311" t="s">
        <v>1090</v>
      </c>
      <c r="AF19" s="1311" t="s">
        <v>1090</v>
      </c>
      <c r="AG19" s="1311" t="str">
        <f t="shared" si="7"/>
        <v>-</v>
      </c>
      <c r="AH19" s="1371"/>
      <c r="AI19" s="1378"/>
      <c r="AJ19" s="1371"/>
      <c r="AK19" s="1378"/>
      <c r="AL19" s="1378"/>
      <c r="AM19" s="1692">
        <f t="shared" si="8"/>
        <v>0</v>
      </c>
      <c r="AN19" s="1699">
        <f t="shared" si="1"/>
        <v>0</v>
      </c>
      <c r="AO19" s="1697">
        <v>0</v>
      </c>
      <c r="AP19" s="1699" t="s">
        <v>1090</v>
      </c>
      <c r="AQ19" s="1699" t="s">
        <v>1090</v>
      </c>
      <c r="AR19" s="1699" t="str">
        <f aca="true" t="shared" si="12" ref="AR19:AR22">IF(AN19&gt;0,AP19,"-")</f>
        <v>-</v>
      </c>
      <c r="AS19" s="1692"/>
      <c r="AT19" s="1692"/>
      <c r="AU19" s="1692" t="s">
        <v>2353</v>
      </c>
      <c r="AV19" s="1692"/>
      <c r="AW19" s="2084">
        <f t="shared" si="10"/>
        <v>0</v>
      </c>
      <c r="AX19" s="2085">
        <f t="shared" si="2"/>
        <v>0</v>
      </c>
      <c r="AY19" s="2084">
        <v>0</v>
      </c>
      <c r="AZ19" s="2085" t="s">
        <v>1090</v>
      </c>
      <c r="BA19" s="2085">
        <v>0</v>
      </c>
      <c r="BB19" s="2085" t="s">
        <v>1090</v>
      </c>
      <c r="BC19" s="1989"/>
      <c r="BD19" s="1989"/>
      <c r="BE19" s="101"/>
      <c r="BF19" s="101"/>
      <c r="BG19" s="2339">
        <f t="shared" si="11"/>
        <v>0</v>
      </c>
      <c r="BH19" s="2373">
        <f t="shared" si="3"/>
        <v>0</v>
      </c>
      <c r="BI19" s="2339" t="s">
        <v>1090</v>
      </c>
      <c r="BJ19" s="2373" t="s">
        <v>1090</v>
      </c>
      <c r="BK19" s="2373"/>
      <c r="BL19" s="2373">
        <v>0</v>
      </c>
      <c r="BM19" s="2337"/>
      <c r="BN19" s="2337"/>
      <c r="BO19" s="2378" t="s">
        <v>3060</v>
      </c>
      <c r="BP19" s="2408"/>
    </row>
    <row r="20" spans="1:68" s="49" customFormat="1" ht="55.5" customHeight="1" thickBot="1">
      <c r="A20" s="2655"/>
      <c r="B20" s="2655"/>
      <c r="C20" s="2657"/>
      <c r="D20" s="250" t="s">
        <v>803</v>
      </c>
      <c r="E20" s="309" t="s">
        <v>231</v>
      </c>
      <c r="F20" s="309">
        <v>4</v>
      </c>
      <c r="G20" s="309" t="s">
        <v>804</v>
      </c>
      <c r="H20" s="309" t="s">
        <v>801</v>
      </c>
      <c r="I20" s="251">
        <v>0.14285714285714288</v>
      </c>
      <c r="J20" s="309" t="s">
        <v>805</v>
      </c>
      <c r="K20" s="67">
        <v>42005</v>
      </c>
      <c r="L20" s="68">
        <v>42369</v>
      </c>
      <c r="M20" s="69"/>
      <c r="N20" s="70"/>
      <c r="O20" s="70">
        <v>1</v>
      </c>
      <c r="P20" s="70"/>
      <c r="Q20" s="70"/>
      <c r="R20" s="70">
        <v>1</v>
      </c>
      <c r="S20" s="70"/>
      <c r="T20" s="71"/>
      <c r="U20" s="72">
        <v>1</v>
      </c>
      <c r="V20" s="73"/>
      <c r="W20" s="73"/>
      <c r="X20" s="73">
        <v>1</v>
      </c>
      <c r="Y20" s="121">
        <f t="shared" si="0"/>
        <v>4</v>
      </c>
      <c r="Z20" s="75">
        <v>0</v>
      </c>
      <c r="AA20" s="611" t="s">
        <v>1090</v>
      </c>
      <c r="AB20" s="1378">
        <f t="shared" si="4"/>
        <v>0</v>
      </c>
      <c r="AC20" s="1371">
        <f t="shared" si="5"/>
        <v>0</v>
      </c>
      <c r="AD20" s="1509">
        <v>0</v>
      </c>
      <c r="AE20" s="1311" t="s">
        <v>1090</v>
      </c>
      <c r="AF20" s="1311">
        <f t="shared" si="6"/>
        <v>0</v>
      </c>
      <c r="AG20" s="1311">
        <f t="shared" si="7"/>
        <v>0</v>
      </c>
      <c r="AH20" s="1371"/>
      <c r="AI20" s="1378"/>
      <c r="AJ20" s="1371"/>
      <c r="AK20" s="1378"/>
      <c r="AL20" s="1378"/>
      <c r="AM20" s="1692">
        <f t="shared" si="8"/>
        <v>1</v>
      </c>
      <c r="AN20" s="1699">
        <f t="shared" si="1"/>
        <v>1</v>
      </c>
      <c r="AO20" s="1697">
        <v>0</v>
      </c>
      <c r="AP20" s="1699">
        <f aca="true" t="shared" si="13" ref="AP20:AP21">AO20/AM20</f>
        <v>0</v>
      </c>
      <c r="AQ20" s="1699">
        <f t="shared" si="9"/>
        <v>0</v>
      </c>
      <c r="AR20" s="1699">
        <v>0</v>
      </c>
      <c r="AS20" s="1692"/>
      <c r="AT20" s="1692"/>
      <c r="AU20" s="1692" t="s">
        <v>2354</v>
      </c>
      <c r="AV20" s="1692" t="s">
        <v>2355</v>
      </c>
      <c r="AW20" s="2084">
        <f t="shared" si="10"/>
        <v>2</v>
      </c>
      <c r="AX20" s="2085">
        <f t="shared" si="2"/>
        <v>1</v>
      </c>
      <c r="AY20" s="2084">
        <v>1</v>
      </c>
      <c r="AZ20" s="2085">
        <v>0.5</v>
      </c>
      <c r="BA20" s="2085">
        <f>AX20/X20</f>
        <v>1</v>
      </c>
      <c r="BB20" s="2085">
        <f>AY20/Y20</f>
        <v>0.25</v>
      </c>
      <c r="BC20" s="1989"/>
      <c r="BD20" s="1989"/>
      <c r="BE20" s="101" t="s">
        <v>2855</v>
      </c>
      <c r="BF20" s="101"/>
      <c r="BG20" s="2339">
        <f t="shared" si="11"/>
        <v>2</v>
      </c>
      <c r="BH20" s="2373">
        <f t="shared" si="3"/>
        <v>1</v>
      </c>
      <c r="BI20" s="2339">
        <v>2</v>
      </c>
      <c r="BJ20" s="2373">
        <v>1</v>
      </c>
      <c r="BK20" s="2373"/>
      <c r="BL20" s="2373">
        <v>0.5</v>
      </c>
      <c r="BM20" s="2337"/>
      <c r="BN20" s="2337"/>
      <c r="BO20" s="2378"/>
      <c r="BP20" s="2408"/>
    </row>
    <row r="21" spans="1:68" s="49" customFormat="1" ht="41.25" customHeight="1" thickBot="1">
      <c r="A21" s="2655"/>
      <c r="B21" s="2655"/>
      <c r="C21" s="2664"/>
      <c r="D21" s="250" t="s">
        <v>806</v>
      </c>
      <c r="E21" s="309" t="s">
        <v>389</v>
      </c>
      <c r="F21" s="309">
        <v>4</v>
      </c>
      <c r="G21" s="309" t="s">
        <v>807</v>
      </c>
      <c r="H21" s="309" t="s">
        <v>801</v>
      </c>
      <c r="I21" s="251">
        <v>0.14285714285714288</v>
      </c>
      <c r="J21" s="309" t="s">
        <v>808</v>
      </c>
      <c r="K21" s="67">
        <v>42005</v>
      </c>
      <c r="L21" s="68">
        <v>42369</v>
      </c>
      <c r="M21" s="69"/>
      <c r="N21" s="70"/>
      <c r="O21" s="70">
        <v>1</v>
      </c>
      <c r="P21" s="70"/>
      <c r="Q21" s="70"/>
      <c r="R21" s="70">
        <v>1</v>
      </c>
      <c r="S21" s="70"/>
      <c r="T21" s="71"/>
      <c r="U21" s="72">
        <v>1</v>
      </c>
      <c r="V21" s="73"/>
      <c r="W21" s="73"/>
      <c r="X21" s="73">
        <v>1</v>
      </c>
      <c r="Y21" s="121">
        <f t="shared" si="0"/>
        <v>4</v>
      </c>
      <c r="Z21" s="75">
        <v>0</v>
      </c>
      <c r="AA21" s="611" t="s">
        <v>1090</v>
      </c>
      <c r="AB21" s="1378">
        <f t="shared" si="4"/>
        <v>0</v>
      </c>
      <c r="AC21" s="1371">
        <f t="shared" si="5"/>
        <v>0</v>
      </c>
      <c r="AD21" s="1509">
        <v>0</v>
      </c>
      <c r="AE21" s="1311" t="s">
        <v>1090</v>
      </c>
      <c r="AF21" s="1311">
        <f t="shared" si="6"/>
        <v>0</v>
      </c>
      <c r="AG21" s="1311">
        <f t="shared" si="7"/>
        <v>0</v>
      </c>
      <c r="AH21" s="1371"/>
      <c r="AI21" s="1378"/>
      <c r="AJ21" s="1371"/>
      <c r="AK21" s="1378"/>
      <c r="AL21" s="1378"/>
      <c r="AM21" s="1692">
        <f t="shared" si="8"/>
        <v>1</v>
      </c>
      <c r="AN21" s="1699">
        <f t="shared" si="1"/>
        <v>1</v>
      </c>
      <c r="AO21" s="1697">
        <v>1</v>
      </c>
      <c r="AP21" s="1699">
        <f t="shared" si="13"/>
        <v>1</v>
      </c>
      <c r="AQ21" s="1699">
        <f t="shared" si="9"/>
        <v>0.25</v>
      </c>
      <c r="AR21" s="1699">
        <f t="shared" si="12"/>
        <v>1</v>
      </c>
      <c r="AS21" s="1692"/>
      <c r="AT21" s="1692"/>
      <c r="AU21" s="1692"/>
      <c r="AV21" s="1692"/>
      <c r="AW21" s="2084">
        <f t="shared" si="10"/>
        <v>2</v>
      </c>
      <c r="AX21" s="2085">
        <f t="shared" si="2"/>
        <v>1</v>
      </c>
      <c r="AY21" s="2084">
        <v>2</v>
      </c>
      <c r="AZ21" s="2085">
        <v>1</v>
      </c>
      <c r="BA21" s="2085">
        <v>0.5</v>
      </c>
      <c r="BB21" s="2085">
        <v>0.5</v>
      </c>
      <c r="BC21" s="1989"/>
      <c r="BD21" s="1989"/>
      <c r="BE21" s="101"/>
      <c r="BF21" s="101"/>
      <c r="BG21" s="2339">
        <f t="shared" si="11"/>
        <v>2</v>
      </c>
      <c r="BH21" s="2373">
        <f t="shared" si="3"/>
        <v>1</v>
      </c>
      <c r="BI21" s="2339">
        <v>2</v>
      </c>
      <c r="BJ21" s="2373">
        <v>1</v>
      </c>
      <c r="BK21" s="2373"/>
      <c r="BL21" s="2373">
        <v>0.5</v>
      </c>
      <c r="BM21" s="2337"/>
      <c r="BN21" s="2337"/>
      <c r="BO21" s="2378"/>
      <c r="BP21" s="2408"/>
    </row>
    <row r="22" spans="1:68" s="49" customFormat="1" ht="96.75" customHeight="1" thickBot="1">
      <c r="A22" s="2655"/>
      <c r="B22" s="2655"/>
      <c r="C22" s="1759" t="s">
        <v>809</v>
      </c>
      <c r="D22" s="254" t="s">
        <v>810</v>
      </c>
      <c r="E22" s="64" t="s">
        <v>231</v>
      </c>
      <c r="F22" s="2166">
        <v>1</v>
      </c>
      <c r="G22" s="64" t="s">
        <v>2808</v>
      </c>
      <c r="H22" s="65" t="s">
        <v>801</v>
      </c>
      <c r="I22" s="251">
        <v>0.142857142857143</v>
      </c>
      <c r="J22" s="65" t="s">
        <v>812</v>
      </c>
      <c r="K22" s="67">
        <v>42005</v>
      </c>
      <c r="L22" s="68">
        <v>42185</v>
      </c>
      <c r="M22" s="69"/>
      <c r="N22" s="70"/>
      <c r="O22" s="70"/>
      <c r="P22" s="70"/>
      <c r="Q22" s="70"/>
      <c r="R22" s="70"/>
      <c r="S22" s="70"/>
      <c r="T22" s="2167">
        <v>1</v>
      </c>
      <c r="U22" s="2167">
        <v>1</v>
      </c>
      <c r="V22" s="2167">
        <v>1</v>
      </c>
      <c r="W22" s="2167">
        <v>1</v>
      </c>
      <c r="X22" s="2167">
        <v>1</v>
      </c>
      <c r="Y22" s="2025">
        <v>1</v>
      </c>
      <c r="Z22" s="75">
        <v>0</v>
      </c>
      <c r="AA22" s="611" t="s">
        <v>1090</v>
      </c>
      <c r="AB22" s="1378" t="s">
        <v>100</v>
      </c>
      <c r="AC22" s="1371">
        <f t="shared" si="5"/>
        <v>1</v>
      </c>
      <c r="AD22" s="1509">
        <v>0</v>
      </c>
      <c r="AE22" s="1311" t="s">
        <v>1090</v>
      </c>
      <c r="AF22" s="1311" t="s">
        <v>1090</v>
      </c>
      <c r="AG22" s="1311" t="str">
        <f t="shared" si="7"/>
        <v>-</v>
      </c>
      <c r="AH22" s="1371"/>
      <c r="AI22" s="1378"/>
      <c r="AJ22" s="1371"/>
      <c r="AK22" s="1378"/>
      <c r="AL22" s="1378"/>
      <c r="AM22" s="1692">
        <f t="shared" si="8"/>
        <v>0</v>
      </c>
      <c r="AN22" s="1699">
        <f t="shared" si="1"/>
        <v>0</v>
      </c>
      <c r="AO22" s="1697">
        <v>0</v>
      </c>
      <c r="AP22" s="1699" t="s">
        <v>1090</v>
      </c>
      <c r="AQ22" s="1699" t="s">
        <v>1090</v>
      </c>
      <c r="AR22" s="1699" t="str">
        <f t="shared" si="12"/>
        <v>-</v>
      </c>
      <c r="AS22" s="1692"/>
      <c r="AT22" s="1692"/>
      <c r="AU22" s="1692" t="s">
        <v>2356</v>
      </c>
      <c r="AV22" s="1692"/>
      <c r="AW22" s="2084">
        <f t="shared" si="10"/>
        <v>0</v>
      </c>
      <c r="AX22" s="2085">
        <f t="shared" si="2"/>
        <v>0</v>
      </c>
      <c r="AY22" s="2084">
        <v>0</v>
      </c>
      <c r="AZ22" s="2085" t="s">
        <v>1090</v>
      </c>
      <c r="BA22" s="2085">
        <v>0</v>
      </c>
      <c r="BB22" s="2085" t="s">
        <v>1090</v>
      </c>
      <c r="BC22" s="1989"/>
      <c r="BD22" s="1989"/>
      <c r="BE22" s="101"/>
      <c r="BF22" s="101"/>
      <c r="BG22" s="2339">
        <f t="shared" si="11"/>
        <v>1</v>
      </c>
      <c r="BH22" s="2373">
        <f t="shared" si="3"/>
        <v>1</v>
      </c>
      <c r="BI22" s="2382">
        <v>1</v>
      </c>
      <c r="BJ22" s="2373">
        <v>1</v>
      </c>
      <c r="BK22" s="2373"/>
      <c r="BL22" s="2373" t="s">
        <v>1090</v>
      </c>
      <c r="BM22" s="2337"/>
      <c r="BN22" s="2337"/>
      <c r="BO22" s="2378" t="s">
        <v>3061</v>
      </c>
      <c r="BP22" s="2408"/>
    </row>
    <row r="23" spans="1:68" s="606" customFormat="1" ht="20.1" customHeight="1" thickBot="1">
      <c r="A23" s="2652" t="s">
        <v>130</v>
      </c>
      <c r="B23" s="2653"/>
      <c r="C23" s="2653"/>
      <c r="D23" s="2654"/>
      <c r="E23" s="1756"/>
      <c r="F23" s="1757"/>
      <c r="G23" s="1757"/>
      <c r="H23" s="1757"/>
      <c r="I23" s="93">
        <f>+SUM(I16:I22)</f>
        <v>1.0000000000000002</v>
      </c>
      <c r="J23" s="1757"/>
      <c r="K23" s="1757"/>
      <c r="L23" s="1757"/>
      <c r="M23" s="1757"/>
      <c r="N23" s="1757"/>
      <c r="O23" s="1757"/>
      <c r="P23" s="1757"/>
      <c r="Q23" s="1757"/>
      <c r="R23" s="1757"/>
      <c r="S23" s="1757"/>
      <c r="T23" s="1757"/>
      <c r="U23" s="1757"/>
      <c r="V23" s="1757"/>
      <c r="W23" s="1757"/>
      <c r="X23" s="1757"/>
      <c r="Y23" s="87"/>
      <c r="Z23" s="88">
        <f>SUM(Z16:Z22)</f>
        <v>209456620</v>
      </c>
      <c r="AA23" s="1758"/>
      <c r="AB23" s="1559"/>
      <c r="AC23" s="1556">
        <f>AVERAGEIF(AC16:AC22,"&gt;0")</f>
        <v>1</v>
      </c>
      <c r="AD23" s="1511"/>
      <c r="AE23" s="1494" t="s">
        <v>1090</v>
      </c>
      <c r="AF23" s="1494"/>
      <c r="AG23" s="1494">
        <f>AVERAGE(AG16:AG22)</f>
        <v>0</v>
      </c>
      <c r="AH23" s="1324"/>
      <c r="AI23" s="1324"/>
      <c r="AJ23" s="1324"/>
      <c r="AK23" s="1324"/>
      <c r="AL23" s="1324"/>
      <c r="AM23" s="1325"/>
      <c r="AN23" s="1875">
        <f>AVERAGEIF(AN16:AN22,"&gt;0")</f>
        <v>1</v>
      </c>
      <c r="AO23" s="1325"/>
      <c r="AP23" s="1877">
        <f>AVERAGE(AP16:AP22)</f>
        <v>0.5</v>
      </c>
      <c r="AQ23" s="1325"/>
      <c r="AR23" s="1877">
        <f>AVERAGE(AR16:AR22)</f>
        <v>0.2</v>
      </c>
      <c r="AS23" s="1325"/>
      <c r="AT23" s="1325"/>
      <c r="AU23" s="1325"/>
      <c r="AV23" s="1325"/>
      <c r="AW23" s="1325"/>
      <c r="AX23" s="1878">
        <v>1</v>
      </c>
      <c r="AY23" s="1325"/>
      <c r="AZ23" s="1879">
        <f>AVERAGE(AZ16:AZ22)</f>
        <v>0.75</v>
      </c>
      <c r="BA23" s="1325"/>
      <c r="BB23" s="1879">
        <f>AVERAGE(BB16:BB22)</f>
        <v>0.1875</v>
      </c>
      <c r="BC23" s="1325"/>
      <c r="BD23" s="1325"/>
      <c r="BE23" s="1325"/>
      <c r="BF23" s="1325"/>
      <c r="BG23" s="1325"/>
      <c r="BH23" s="1878">
        <v>1</v>
      </c>
      <c r="BI23" s="1325"/>
      <c r="BJ23" s="1879">
        <f>AVERAGE(BJ16:BJ22)</f>
        <v>1</v>
      </c>
      <c r="BK23" s="1325"/>
      <c r="BL23" s="2503">
        <f>AVERAGE(BL16:BL22)</f>
        <v>0.16666666666666666</v>
      </c>
      <c r="BM23" s="1325"/>
      <c r="BN23" s="1325"/>
      <c r="BO23" s="1325"/>
      <c r="BP23" s="1325"/>
    </row>
    <row r="24" spans="1:68" s="606" customFormat="1" ht="20.1" customHeight="1" thickBot="1">
      <c r="A24" s="2669" t="s">
        <v>290</v>
      </c>
      <c r="B24" s="2669"/>
      <c r="C24" s="2669"/>
      <c r="D24" s="2669"/>
      <c r="E24" s="219"/>
      <c r="F24" s="219"/>
      <c r="G24" s="219"/>
      <c r="H24" s="1772"/>
      <c r="I24" s="1772"/>
      <c r="J24" s="1772"/>
      <c r="K24" s="1772"/>
      <c r="L24" s="1772"/>
      <c r="M24" s="1772"/>
      <c r="N24" s="1772"/>
      <c r="O24" s="1772"/>
      <c r="P24" s="1772"/>
      <c r="Q24" s="1772"/>
      <c r="R24" s="1772"/>
      <c r="S24" s="1772"/>
      <c r="T24" s="1772"/>
      <c r="U24" s="1772"/>
      <c r="V24" s="1772"/>
      <c r="W24" s="1772"/>
      <c r="X24" s="1772"/>
      <c r="Y24" s="222"/>
      <c r="Z24" s="223">
        <f>SUM(Z23)</f>
        <v>209456620</v>
      </c>
      <c r="AA24" s="1773"/>
      <c r="AB24" s="1329"/>
      <c r="AC24" s="306">
        <f>AVERAGE(AC23)</f>
        <v>1</v>
      </c>
      <c r="AD24" s="1517"/>
      <c r="AE24" s="1309" t="s">
        <v>1090</v>
      </c>
      <c r="AF24" s="1309"/>
      <c r="AG24" s="1309">
        <f>AVERAGE(AG23)</f>
        <v>0</v>
      </c>
      <c r="AH24" s="1329"/>
      <c r="AI24" s="1329"/>
      <c r="AJ24" s="1329"/>
      <c r="AK24" s="1329"/>
      <c r="AL24" s="1329"/>
      <c r="AM24" s="1329"/>
      <c r="AN24" s="306">
        <f>AVERAGE(AN23)</f>
        <v>1</v>
      </c>
      <c r="AO24" s="1329"/>
      <c r="AP24" s="306">
        <f>AVERAGE(AP23)</f>
        <v>0.5</v>
      </c>
      <c r="AQ24" s="1329"/>
      <c r="AR24" s="306">
        <f>AVERAGE(AR23)</f>
        <v>0.2</v>
      </c>
      <c r="AS24" s="1329"/>
      <c r="AT24" s="1329"/>
      <c r="AU24" s="1329"/>
      <c r="AV24" s="1329"/>
      <c r="AW24" s="1329"/>
      <c r="AX24" s="1312">
        <v>1</v>
      </c>
      <c r="AY24" s="1329"/>
      <c r="AZ24" s="2320">
        <f>AVERAGE(AZ23)</f>
        <v>0.75</v>
      </c>
      <c r="BA24" s="1329"/>
      <c r="BB24" s="2207">
        <f>AVERAGE(BB23)</f>
        <v>0.1875</v>
      </c>
      <c r="BC24" s="1329"/>
      <c r="BD24" s="1329"/>
      <c r="BE24" s="1329"/>
      <c r="BF24" s="1329"/>
      <c r="BG24" s="1329"/>
      <c r="BH24" s="1525">
        <v>1</v>
      </c>
      <c r="BI24" s="1527"/>
      <c r="BJ24" s="1546">
        <f>AVERAGE(BJ23)</f>
        <v>1</v>
      </c>
      <c r="BK24" s="1527"/>
      <c r="BL24" s="1546">
        <f>AVERAGE(BL23)</f>
        <v>0.16666666666666666</v>
      </c>
      <c r="BM24" s="1329"/>
      <c r="BN24" s="1329"/>
      <c r="BO24" s="1329"/>
      <c r="BP24" s="1329"/>
    </row>
    <row r="25" spans="1:65" s="13" customFormat="1" ht="9.95" customHeight="1" hidden="1" thickBot="1">
      <c r="A25" s="2663"/>
      <c r="B25" s="2663"/>
      <c r="C25" s="2663"/>
      <c r="D25" s="2663"/>
      <c r="E25" s="2663"/>
      <c r="F25" s="2663"/>
      <c r="G25" s="2663"/>
      <c r="H25" s="2663"/>
      <c r="I25" s="2663"/>
      <c r="J25" s="2663"/>
      <c r="K25" s="2663"/>
      <c r="L25" s="2663"/>
      <c r="M25" s="2663"/>
      <c r="N25" s="2663"/>
      <c r="O25" s="2663"/>
      <c r="P25" s="2663"/>
      <c r="Q25" s="2663"/>
      <c r="R25" s="2663"/>
      <c r="S25" s="2663"/>
      <c r="T25" s="2663"/>
      <c r="U25" s="2663"/>
      <c r="V25" s="2663"/>
      <c r="W25" s="2663"/>
      <c r="X25" s="2663"/>
      <c r="Y25" s="2663"/>
      <c r="Z25" s="2663"/>
      <c r="AA25" s="2663"/>
      <c r="AB25" s="313"/>
      <c r="AC25" s="1565"/>
      <c r="AD25" s="1514"/>
      <c r="AE25" s="1310"/>
      <c r="AF25" s="1310"/>
      <c r="AG25" s="1310"/>
      <c r="AH25" s="313"/>
      <c r="AI25" s="313"/>
      <c r="AJ25" s="313"/>
      <c r="AK25" s="313"/>
      <c r="AL25" s="313"/>
      <c r="AM25" s="314"/>
      <c r="AN25" s="314"/>
      <c r="AO25" s="314"/>
      <c r="AP25" s="314"/>
      <c r="AQ25" s="314"/>
      <c r="AR25" s="314"/>
      <c r="AS25" s="314"/>
      <c r="AT25" s="314"/>
      <c r="AU25" s="314"/>
      <c r="AV25" s="314"/>
      <c r="AW25" s="314"/>
      <c r="AX25" s="314"/>
      <c r="AY25" s="314"/>
      <c r="AZ25" s="314"/>
      <c r="BA25" s="314"/>
      <c r="BB25" s="314"/>
      <c r="BC25" s="314"/>
      <c r="BG25" s="314"/>
      <c r="BH25" s="314"/>
      <c r="BI25" s="314"/>
      <c r="BJ25" s="314"/>
      <c r="BK25" s="314"/>
      <c r="BL25" s="314"/>
      <c r="BM25" s="314"/>
    </row>
    <row r="26" spans="1:65" s="4" customFormat="1" ht="21" customHeight="1" hidden="1" thickBot="1">
      <c r="A26" s="2645" t="s">
        <v>9</v>
      </c>
      <c r="B26" s="2646"/>
      <c r="C26" s="2646"/>
      <c r="D26" s="2647"/>
      <c r="E26" s="2648" t="s">
        <v>813</v>
      </c>
      <c r="F26" s="2649"/>
      <c r="G26" s="2649"/>
      <c r="H26" s="2649"/>
      <c r="I26" s="2649"/>
      <c r="J26" s="2649"/>
      <c r="K26" s="2649"/>
      <c r="L26" s="2649"/>
      <c r="M26" s="2649"/>
      <c r="N26" s="2649"/>
      <c r="O26" s="2649"/>
      <c r="P26" s="2649"/>
      <c r="Q26" s="2649"/>
      <c r="R26" s="2649"/>
      <c r="S26" s="2649"/>
      <c r="T26" s="2649"/>
      <c r="U26" s="2649"/>
      <c r="V26" s="2649"/>
      <c r="W26" s="2649"/>
      <c r="X26" s="2649"/>
      <c r="Y26" s="2649"/>
      <c r="Z26" s="2649"/>
      <c r="AA26" s="2650"/>
      <c r="AB26" s="2651" t="s">
        <v>813</v>
      </c>
      <c r="AC26" s="2651"/>
      <c r="AD26" s="2651"/>
      <c r="AE26" s="2651"/>
      <c r="AF26" s="2651"/>
      <c r="AG26" s="2651"/>
      <c r="AH26" s="2651"/>
      <c r="AI26" s="2651"/>
      <c r="AJ26" s="2651"/>
      <c r="AK26" s="2651"/>
      <c r="AL26" s="2651"/>
      <c r="AM26" s="2651" t="s">
        <v>813</v>
      </c>
      <c r="AN26" s="2651"/>
      <c r="AO26" s="2651"/>
      <c r="AP26" s="2651"/>
      <c r="AQ26" s="2651"/>
      <c r="AR26" s="2651"/>
      <c r="AS26" s="2651"/>
      <c r="AT26" s="2651"/>
      <c r="AU26" s="2651"/>
      <c r="AV26" s="2651"/>
      <c r="AW26" s="2651" t="s">
        <v>813</v>
      </c>
      <c r="AX26" s="2651"/>
      <c r="AY26" s="2651"/>
      <c r="AZ26" s="2651"/>
      <c r="BA26" s="2651"/>
      <c r="BB26" s="2651"/>
      <c r="BC26" s="2651"/>
      <c r="BG26" s="2651" t="s">
        <v>813</v>
      </c>
      <c r="BH26" s="2651"/>
      <c r="BI26" s="2651"/>
      <c r="BJ26" s="2651"/>
      <c r="BK26" s="2651"/>
      <c r="BL26" s="2651"/>
      <c r="BM26" s="2651"/>
    </row>
    <row r="27" spans="2:38" s="13" customFormat="1" ht="9.95" customHeight="1" hidden="1" thickBot="1">
      <c r="B27" s="14"/>
      <c r="E27" s="299"/>
      <c r="F27" s="300"/>
      <c r="I27" s="244"/>
      <c r="K27" s="245"/>
      <c r="L27" s="245"/>
      <c r="Y27" s="246"/>
      <c r="Z27" s="388"/>
      <c r="AB27" s="1340"/>
      <c r="AC27" s="1564"/>
      <c r="AD27" s="1506"/>
      <c r="AE27" s="1307"/>
      <c r="AF27" s="1307"/>
      <c r="AG27" s="1307"/>
      <c r="AH27" s="1340"/>
      <c r="AI27" s="1340"/>
      <c r="AJ27" s="1340"/>
      <c r="AK27" s="1340"/>
      <c r="AL27" s="1340"/>
    </row>
    <row r="28" spans="1:65" s="49" customFormat="1" ht="13.5" hidden="1" thickBot="1">
      <c r="A28" s="2658">
        <v>2</v>
      </c>
      <c r="B28" s="2658" t="s">
        <v>814</v>
      </c>
      <c r="C28" s="2665" t="s">
        <v>815</v>
      </c>
      <c r="D28" s="254"/>
      <c r="E28" s="389"/>
      <c r="F28" s="64"/>
      <c r="G28" s="133"/>
      <c r="H28" s="65"/>
      <c r="I28" s="65"/>
      <c r="J28" s="65"/>
      <c r="K28" s="67"/>
      <c r="L28" s="68"/>
      <c r="M28" s="69"/>
      <c r="N28" s="70"/>
      <c r="O28" s="70"/>
      <c r="P28" s="70"/>
      <c r="Q28" s="70"/>
      <c r="R28" s="70"/>
      <c r="S28" s="70"/>
      <c r="T28" s="71"/>
      <c r="U28" s="72"/>
      <c r="V28" s="73"/>
      <c r="W28" s="73"/>
      <c r="X28" s="73"/>
      <c r="Y28" s="74"/>
      <c r="Z28" s="608"/>
      <c r="AA28" s="610"/>
      <c r="AB28" s="1378"/>
      <c r="AC28" s="1371"/>
      <c r="AD28" s="1509"/>
      <c r="AE28" s="1311"/>
      <c r="AF28" s="1311"/>
      <c r="AG28" s="1311"/>
      <c r="AH28" s="1371"/>
      <c r="AI28" s="1378"/>
      <c r="AJ28" s="1371"/>
      <c r="AK28" s="1378"/>
      <c r="AL28" s="1378"/>
      <c r="AM28" s="100"/>
      <c r="AN28" s="100"/>
      <c r="AO28" s="100"/>
      <c r="AP28" s="100"/>
      <c r="AQ28" s="100"/>
      <c r="AR28" s="100"/>
      <c r="AS28" s="100"/>
      <c r="AT28" s="100"/>
      <c r="AU28" s="100"/>
      <c r="AV28" s="100"/>
      <c r="AW28" s="101"/>
      <c r="AX28" s="101"/>
      <c r="AY28" s="101"/>
      <c r="AZ28" s="101"/>
      <c r="BA28" s="101"/>
      <c r="BB28" s="101"/>
      <c r="BC28" s="101"/>
      <c r="BG28" s="101"/>
      <c r="BH28" s="101"/>
      <c r="BI28" s="101"/>
      <c r="BJ28" s="101"/>
      <c r="BK28" s="101"/>
      <c r="BL28" s="101"/>
      <c r="BM28" s="101"/>
    </row>
    <row r="29" spans="1:65" s="49" customFormat="1" ht="20.25" customHeight="1" hidden="1" thickBot="1">
      <c r="A29" s="2655"/>
      <c r="B29" s="2655"/>
      <c r="C29" s="2666"/>
      <c r="D29" s="254"/>
      <c r="E29" s="64"/>
      <c r="F29" s="64"/>
      <c r="G29" s="64"/>
      <c r="H29" s="65"/>
      <c r="I29" s="65"/>
      <c r="J29" s="65"/>
      <c r="K29" s="67"/>
      <c r="L29" s="68"/>
      <c r="M29" s="69"/>
      <c r="N29" s="70"/>
      <c r="O29" s="70"/>
      <c r="P29" s="70"/>
      <c r="Q29" s="70"/>
      <c r="R29" s="70"/>
      <c r="S29" s="70"/>
      <c r="T29" s="71"/>
      <c r="U29" s="72"/>
      <c r="V29" s="73"/>
      <c r="W29" s="73"/>
      <c r="X29" s="73"/>
      <c r="Y29" s="74"/>
      <c r="Z29" s="608"/>
      <c r="AA29" s="610"/>
      <c r="AB29" s="1378"/>
      <c r="AC29" s="1371"/>
      <c r="AD29" s="1509"/>
      <c r="AE29" s="1311"/>
      <c r="AF29" s="1311"/>
      <c r="AG29" s="1311"/>
      <c r="AH29" s="1371"/>
      <c r="AI29" s="1378"/>
      <c r="AJ29" s="1371"/>
      <c r="AK29" s="1378"/>
      <c r="AL29" s="1378"/>
      <c r="AM29" s="100"/>
      <c r="AN29" s="100"/>
      <c r="AO29" s="100"/>
      <c r="AP29" s="100"/>
      <c r="AQ29" s="100"/>
      <c r="AR29" s="100"/>
      <c r="AS29" s="100"/>
      <c r="AT29" s="100"/>
      <c r="AU29" s="100"/>
      <c r="AV29" s="100"/>
      <c r="AW29" s="101"/>
      <c r="AX29" s="101"/>
      <c r="AY29" s="101"/>
      <c r="AZ29" s="101"/>
      <c r="BA29" s="101"/>
      <c r="BB29" s="101"/>
      <c r="BC29" s="101"/>
      <c r="BG29" s="101"/>
      <c r="BH29" s="101"/>
      <c r="BI29" s="101"/>
      <c r="BJ29" s="101"/>
      <c r="BK29" s="101"/>
      <c r="BL29" s="101"/>
      <c r="BM29" s="101"/>
    </row>
    <row r="30" spans="1:65" s="49" customFormat="1" ht="13.5" hidden="1" thickBot="1">
      <c r="A30" s="2655"/>
      <c r="B30" s="2655"/>
      <c r="C30" s="2666"/>
      <c r="D30" s="254"/>
      <c r="E30" s="64"/>
      <c r="F30" s="64"/>
      <c r="G30" s="64"/>
      <c r="H30" s="65"/>
      <c r="I30" s="65"/>
      <c r="J30" s="65"/>
      <c r="K30" s="67"/>
      <c r="L30" s="68"/>
      <c r="M30" s="69"/>
      <c r="N30" s="70"/>
      <c r="O30" s="70"/>
      <c r="P30" s="70"/>
      <c r="Q30" s="70"/>
      <c r="R30" s="70"/>
      <c r="S30" s="70"/>
      <c r="T30" s="71"/>
      <c r="U30" s="72"/>
      <c r="V30" s="73"/>
      <c r="W30" s="73"/>
      <c r="X30" s="73"/>
      <c r="Y30" s="74"/>
      <c r="Z30" s="608"/>
      <c r="AA30" s="610"/>
      <c r="AB30" s="1378"/>
      <c r="AC30" s="1371"/>
      <c r="AD30" s="1509"/>
      <c r="AE30" s="1311"/>
      <c r="AF30" s="1311"/>
      <c r="AG30" s="1311"/>
      <c r="AH30" s="1378"/>
      <c r="AI30" s="1378"/>
      <c r="AJ30" s="1378"/>
      <c r="AK30" s="1378"/>
      <c r="AL30" s="1378"/>
      <c r="AM30" s="100"/>
      <c r="AN30" s="100"/>
      <c r="AO30" s="100"/>
      <c r="AP30" s="100"/>
      <c r="AQ30" s="100"/>
      <c r="AR30" s="100"/>
      <c r="AS30" s="100"/>
      <c r="AT30" s="100"/>
      <c r="AU30" s="100"/>
      <c r="AV30" s="100"/>
      <c r="AW30" s="101"/>
      <c r="AX30" s="101"/>
      <c r="AY30" s="101"/>
      <c r="AZ30" s="101"/>
      <c r="BA30" s="101"/>
      <c r="BB30" s="101"/>
      <c r="BC30" s="101"/>
      <c r="BG30" s="101"/>
      <c r="BH30" s="101"/>
      <c r="BI30" s="101"/>
      <c r="BJ30" s="101"/>
      <c r="BK30" s="101"/>
      <c r="BL30" s="101"/>
      <c r="BM30" s="101"/>
    </row>
    <row r="31" spans="1:65" s="49" customFormat="1" ht="13.5" hidden="1" thickBot="1">
      <c r="A31" s="2655"/>
      <c r="B31" s="2655"/>
      <c r="C31" s="2666"/>
      <c r="D31" s="254"/>
      <c r="E31" s="64"/>
      <c r="F31" s="64"/>
      <c r="G31" s="64"/>
      <c r="H31" s="65"/>
      <c r="I31" s="65"/>
      <c r="J31" s="65"/>
      <c r="K31" s="67"/>
      <c r="L31" s="68"/>
      <c r="M31" s="69"/>
      <c r="N31" s="70"/>
      <c r="O31" s="70"/>
      <c r="P31" s="70"/>
      <c r="Q31" s="70"/>
      <c r="R31" s="70"/>
      <c r="S31" s="70"/>
      <c r="T31" s="71"/>
      <c r="U31" s="72"/>
      <c r="V31" s="73"/>
      <c r="W31" s="73"/>
      <c r="X31" s="73"/>
      <c r="Y31" s="74"/>
      <c r="Z31" s="608"/>
      <c r="AA31" s="610"/>
      <c r="AB31" s="1378"/>
      <c r="AC31" s="1371"/>
      <c r="AD31" s="1509"/>
      <c r="AE31" s="1311"/>
      <c r="AF31" s="1311"/>
      <c r="AG31" s="1311"/>
      <c r="AH31" s="1371"/>
      <c r="AI31" s="1378"/>
      <c r="AJ31" s="1371"/>
      <c r="AK31" s="1378"/>
      <c r="AL31" s="1378"/>
      <c r="AM31" s="100"/>
      <c r="AN31" s="100"/>
      <c r="AO31" s="100"/>
      <c r="AP31" s="100"/>
      <c r="AQ31" s="100"/>
      <c r="AR31" s="100"/>
      <c r="AS31" s="100"/>
      <c r="AT31" s="100"/>
      <c r="AU31" s="100"/>
      <c r="AV31" s="100"/>
      <c r="AW31" s="101"/>
      <c r="AX31" s="101"/>
      <c r="AY31" s="101"/>
      <c r="AZ31" s="101"/>
      <c r="BA31" s="101"/>
      <c r="BB31" s="101"/>
      <c r="BC31" s="101"/>
      <c r="BG31" s="101"/>
      <c r="BH31" s="101"/>
      <c r="BI31" s="101"/>
      <c r="BJ31" s="101"/>
      <c r="BK31" s="101"/>
      <c r="BL31" s="101"/>
      <c r="BM31" s="101"/>
    </row>
    <row r="32" spans="1:65" s="49" customFormat="1" ht="13.5" hidden="1" thickBot="1">
      <c r="A32" s="2655"/>
      <c r="B32" s="2655"/>
      <c r="C32" s="2666"/>
      <c r="D32" s="254"/>
      <c r="E32" s="64"/>
      <c r="F32" s="64"/>
      <c r="G32" s="64"/>
      <c r="H32" s="65"/>
      <c r="I32" s="65"/>
      <c r="J32" s="65"/>
      <c r="K32" s="67"/>
      <c r="L32" s="68"/>
      <c r="M32" s="69"/>
      <c r="N32" s="70"/>
      <c r="O32" s="70"/>
      <c r="P32" s="70"/>
      <c r="Q32" s="70"/>
      <c r="R32" s="70"/>
      <c r="S32" s="70"/>
      <c r="T32" s="71"/>
      <c r="U32" s="72"/>
      <c r="V32" s="73"/>
      <c r="W32" s="73"/>
      <c r="X32" s="73"/>
      <c r="Y32" s="74"/>
      <c r="Z32" s="608"/>
      <c r="AA32" s="610"/>
      <c r="AB32" s="1378"/>
      <c r="AC32" s="1371"/>
      <c r="AD32" s="1509"/>
      <c r="AE32" s="1311"/>
      <c r="AF32" s="1311"/>
      <c r="AG32" s="1311"/>
      <c r="AH32" s="1371"/>
      <c r="AI32" s="1378"/>
      <c r="AJ32" s="1371"/>
      <c r="AK32" s="1378"/>
      <c r="AL32" s="1378"/>
      <c r="AM32" s="100"/>
      <c r="AN32" s="100"/>
      <c r="AO32" s="100"/>
      <c r="AP32" s="100"/>
      <c r="AQ32" s="100"/>
      <c r="AR32" s="100"/>
      <c r="AS32" s="100"/>
      <c r="AT32" s="100"/>
      <c r="AU32" s="100"/>
      <c r="AV32" s="100"/>
      <c r="AW32" s="101"/>
      <c r="AX32" s="101"/>
      <c r="AY32" s="101"/>
      <c r="AZ32" s="101"/>
      <c r="BA32" s="101"/>
      <c r="BB32" s="101"/>
      <c r="BC32" s="101"/>
      <c r="BG32" s="101"/>
      <c r="BH32" s="101"/>
      <c r="BI32" s="101"/>
      <c r="BJ32" s="101"/>
      <c r="BK32" s="101"/>
      <c r="BL32" s="101"/>
      <c r="BM32" s="101"/>
    </row>
    <row r="33" spans="1:65" s="49" customFormat="1" ht="28.5" customHeight="1" hidden="1" thickBot="1">
      <c r="A33" s="2655"/>
      <c r="B33" s="2655"/>
      <c r="C33" s="2665" t="s">
        <v>816</v>
      </c>
      <c r="D33" s="254"/>
      <c r="E33" s="64"/>
      <c r="F33" s="64"/>
      <c r="G33" s="64"/>
      <c r="H33" s="65"/>
      <c r="I33" s="65"/>
      <c r="J33" s="65"/>
      <c r="K33" s="67"/>
      <c r="L33" s="68"/>
      <c r="M33" s="69"/>
      <c r="N33" s="70"/>
      <c r="O33" s="70"/>
      <c r="P33" s="70"/>
      <c r="Q33" s="70"/>
      <c r="R33" s="70"/>
      <c r="S33" s="70"/>
      <c r="T33" s="71"/>
      <c r="U33" s="72"/>
      <c r="V33" s="73"/>
      <c r="W33" s="73"/>
      <c r="X33" s="73"/>
      <c r="Y33" s="74"/>
      <c r="Z33" s="608"/>
      <c r="AA33" s="610"/>
      <c r="AB33" s="1378"/>
      <c r="AC33" s="1371"/>
      <c r="AD33" s="1509"/>
      <c r="AE33" s="1311"/>
      <c r="AF33" s="1311"/>
      <c r="AG33" s="1311"/>
      <c r="AH33" s="1371"/>
      <c r="AI33" s="1378"/>
      <c r="AJ33" s="1371"/>
      <c r="AK33" s="1378"/>
      <c r="AL33" s="1378"/>
      <c r="AM33" s="100"/>
      <c r="AN33" s="100"/>
      <c r="AO33" s="100"/>
      <c r="AP33" s="100"/>
      <c r="AQ33" s="100"/>
      <c r="AR33" s="100"/>
      <c r="AS33" s="100"/>
      <c r="AT33" s="100"/>
      <c r="AU33" s="100"/>
      <c r="AV33" s="100"/>
      <c r="AW33" s="101"/>
      <c r="AX33" s="101"/>
      <c r="AY33" s="101"/>
      <c r="AZ33" s="101"/>
      <c r="BA33" s="101"/>
      <c r="BB33" s="101"/>
      <c r="BC33" s="101"/>
      <c r="BG33" s="101"/>
      <c r="BH33" s="101"/>
      <c r="BI33" s="101"/>
      <c r="BJ33" s="101"/>
      <c r="BK33" s="101"/>
      <c r="BL33" s="101"/>
      <c r="BM33" s="101"/>
    </row>
    <row r="34" spans="1:65" s="49" customFormat="1" ht="28.5" customHeight="1" hidden="1" thickBot="1">
      <c r="A34" s="2655"/>
      <c r="B34" s="2655"/>
      <c r="C34" s="2694"/>
      <c r="D34" s="254"/>
      <c r="E34" s="64"/>
      <c r="F34" s="64"/>
      <c r="G34" s="64"/>
      <c r="H34" s="65"/>
      <c r="I34" s="65"/>
      <c r="J34" s="65"/>
      <c r="K34" s="67"/>
      <c r="L34" s="68"/>
      <c r="M34" s="69"/>
      <c r="N34" s="70"/>
      <c r="O34" s="70"/>
      <c r="P34" s="70"/>
      <c r="Q34" s="70"/>
      <c r="R34" s="70"/>
      <c r="S34" s="70"/>
      <c r="T34" s="71"/>
      <c r="U34" s="72"/>
      <c r="V34" s="73"/>
      <c r="W34" s="73"/>
      <c r="X34" s="73"/>
      <c r="Y34" s="74"/>
      <c r="Z34" s="608"/>
      <c r="AA34" s="610"/>
      <c r="AB34" s="1378"/>
      <c r="AC34" s="1371"/>
      <c r="AD34" s="1509"/>
      <c r="AE34" s="1311"/>
      <c r="AF34" s="1311"/>
      <c r="AG34" s="1311"/>
      <c r="AH34" s="1371"/>
      <c r="AI34" s="1378"/>
      <c r="AJ34" s="1371"/>
      <c r="AK34" s="1378"/>
      <c r="AL34" s="1378"/>
      <c r="AM34" s="100"/>
      <c r="AN34" s="100"/>
      <c r="AO34" s="100"/>
      <c r="AP34" s="100"/>
      <c r="AQ34" s="100"/>
      <c r="AR34" s="100"/>
      <c r="AS34" s="100"/>
      <c r="AT34" s="100"/>
      <c r="AU34" s="100"/>
      <c r="AV34" s="100"/>
      <c r="AW34" s="101"/>
      <c r="AX34" s="101"/>
      <c r="AY34" s="101"/>
      <c r="AZ34" s="101"/>
      <c r="BA34" s="101"/>
      <c r="BB34" s="101"/>
      <c r="BC34" s="101"/>
      <c r="BG34" s="101"/>
      <c r="BH34" s="101"/>
      <c r="BI34" s="101"/>
      <c r="BJ34" s="101"/>
      <c r="BK34" s="101"/>
      <c r="BL34" s="101"/>
      <c r="BM34" s="101"/>
    </row>
    <row r="35" spans="1:65" s="49" customFormat="1" ht="28.5" customHeight="1" hidden="1" thickBot="1">
      <c r="A35" s="2655"/>
      <c r="B35" s="2655"/>
      <c r="C35" s="2667" t="s">
        <v>817</v>
      </c>
      <c r="D35" s="254"/>
      <c r="E35" s="64"/>
      <c r="F35" s="64"/>
      <c r="G35" s="64"/>
      <c r="H35" s="65"/>
      <c r="I35" s="65"/>
      <c r="J35" s="65"/>
      <c r="K35" s="67"/>
      <c r="L35" s="68"/>
      <c r="M35" s="69"/>
      <c r="N35" s="70"/>
      <c r="O35" s="70"/>
      <c r="P35" s="70"/>
      <c r="Q35" s="70"/>
      <c r="R35" s="70"/>
      <c r="S35" s="70"/>
      <c r="T35" s="71"/>
      <c r="U35" s="72"/>
      <c r="V35" s="73"/>
      <c r="W35" s="73"/>
      <c r="X35" s="73"/>
      <c r="Y35" s="74"/>
      <c r="Z35" s="608"/>
      <c r="AA35" s="610"/>
      <c r="AB35" s="1378"/>
      <c r="AC35" s="1371"/>
      <c r="AD35" s="1509"/>
      <c r="AE35" s="1311"/>
      <c r="AF35" s="1311"/>
      <c r="AG35" s="1311"/>
      <c r="AH35" s="1371"/>
      <c r="AI35" s="1378"/>
      <c r="AJ35" s="1371"/>
      <c r="AK35" s="1378"/>
      <c r="AL35" s="1378"/>
      <c r="AM35" s="100"/>
      <c r="AN35" s="100"/>
      <c r="AO35" s="100"/>
      <c r="AP35" s="100"/>
      <c r="AQ35" s="100"/>
      <c r="AR35" s="100"/>
      <c r="AS35" s="100"/>
      <c r="AT35" s="100"/>
      <c r="AU35" s="100"/>
      <c r="AV35" s="100"/>
      <c r="AW35" s="101"/>
      <c r="AX35" s="101"/>
      <c r="AY35" s="101"/>
      <c r="AZ35" s="101"/>
      <c r="BA35" s="101"/>
      <c r="BB35" s="101"/>
      <c r="BC35" s="101"/>
      <c r="BG35" s="101"/>
      <c r="BH35" s="101"/>
      <c r="BI35" s="101"/>
      <c r="BJ35" s="101"/>
      <c r="BK35" s="101"/>
      <c r="BL35" s="101"/>
      <c r="BM35" s="101"/>
    </row>
    <row r="36" spans="1:65" s="49" customFormat="1" ht="28.5" customHeight="1" hidden="1" thickBot="1">
      <c r="A36" s="2655"/>
      <c r="B36" s="2655"/>
      <c r="C36" s="2668"/>
      <c r="D36" s="254"/>
      <c r="E36" s="64"/>
      <c r="F36" s="64"/>
      <c r="G36" s="64"/>
      <c r="H36" s="65"/>
      <c r="I36" s="65"/>
      <c r="J36" s="65"/>
      <c r="K36" s="67"/>
      <c r="L36" s="68"/>
      <c r="M36" s="69"/>
      <c r="N36" s="70"/>
      <c r="O36" s="70"/>
      <c r="P36" s="70"/>
      <c r="Q36" s="70"/>
      <c r="R36" s="70"/>
      <c r="S36" s="70"/>
      <c r="T36" s="71"/>
      <c r="U36" s="72"/>
      <c r="V36" s="73"/>
      <c r="W36" s="73"/>
      <c r="X36" s="73"/>
      <c r="Y36" s="74"/>
      <c r="Z36" s="608"/>
      <c r="AA36" s="610"/>
      <c r="AB36" s="1378"/>
      <c r="AC36" s="1371"/>
      <c r="AD36" s="1509"/>
      <c r="AE36" s="1311"/>
      <c r="AF36" s="1311"/>
      <c r="AG36" s="1311"/>
      <c r="AH36" s="1371"/>
      <c r="AI36" s="1378"/>
      <c r="AJ36" s="1371"/>
      <c r="AK36" s="1378"/>
      <c r="AL36" s="1378"/>
      <c r="AM36" s="100"/>
      <c r="AN36" s="100"/>
      <c r="AO36" s="100"/>
      <c r="AP36" s="100"/>
      <c r="AQ36" s="100"/>
      <c r="AR36" s="100"/>
      <c r="AS36" s="100"/>
      <c r="AT36" s="100"/>
      <c r="AU36" s="100"/>
      <c r="AV36" s="100"/>
      <c r="AW36" s="101"/>
      <c r="AX36" s="101"/>
      <c r="AY36" s="101"/>
      <c r="AZ36" s="101"/>
      <c r="BA36" s="101"/>
      <c r="BB36" s="101"/>
      <c r="BC36" s="101"/>
      <c r="BG36" s="101"/>
      <c r="BH36" s="101"/>
      <c r="BI36" s="101"/>
      <c r="BJ36" s="101"/>
      <c r="BK36" s="101"/>
      <c r="BL36" s="101"/>
      <c r="BM36" s="101"/>
    </row>
    <row r="37" spans="1:65" s="49" customFormat="1" ht="28.5" customHeight="1" hidden="1" thickBot="1">
      <c r="A37" s="2655"/>
      <c r="B37" s="2655"/>
      <c r="C37" s="2668"/>
      <c r="D37" s="254"/>
      <c r="E37" s="64"/>
      <c r="F37" s="64"/>
      <c r="G37" s="64"/>
      <c r="H37" s="65"/>
      <c r="I37" s="65"/>
      <c r="J37" s="65"/>
      <c r="K37" s="67"/>
      <c r="L37" s="68"/>
      <c r="M37" s="69"/>
      <c r="N37" s="70"/>
      <c r="O37" s="70"/>
      <c r="P37" s="70"/>
      <c r="Q37" s="70"/>
      <c r="R37" s="70"/>
      <c r="S37" s="70"/>
      <c r="T37" s="71"/>
      <c r="U37" s="72"/>
      <c r="V37" s="73"/>
      <c r="W37" s="73"/>
      <c r="X37" s="73"/>
      <c r="Y37" s="74"/>
      <c r="Z37" s="608"/>
      <c r="AA37" s="610"/>
      <c r="AB37" s="1378"/>
      <c r="AC37" s="1371"/>
      <c r="AD37" s="1509"/>
      <c r="AE37" s="1311"/>
      <c r="AF37" s="1311"/>
      <c r="AG37" s="1311"/>
      <c r="AH37" s="1371"/>
      <c r="AI37" s="1378"/>
      <c r="AJ37" s="1371"/>
      <c r="AK37" s="1378"/>
      <c r="AL37" s="1378"/>
      <c r="AM37" s="100"/>
      <c r="AN37" s="100"/>
      <c r="AO37" s="100"/>
      <c r="AP37" s="100"/>
      <c r="AQ37" s="100"/>
      <c r="AR37" s="100"/>
      <c r="AS37" s="100"/>
      <c r="AT37" s="100"/>
      <c r="AU37" s="100"/>
      <c r="AV37" s="100"/>
      <c r="AW37" s="101"/>
      <c r="AX37" s="101"/>
      <c r="AY37" s="101"/>
      <c r="AZ37" s="101"/>
      <c r="BA37" s="101"/>
      <c r="BB37" s="101"/>
      <c r="BC37" s="101"/>
      <c r="BG37" s="101"/>
      <c r="BH37" s="101"/>
      <c r="BI37" s="101"/>
      <c r="BJ37" s="101"/>
      <c r="BK37" s="101"/>
      <c r="BL37" s="101"/>
      <c r="BM37" s="101"/>
    </row>
    <row r="38" spans="1:65" s="49" customFormat="1" ht="28.5" customHeight="1" hidden="1" thickBot="1">
      <c r="A38" s="2655"/>
      <c r="B38" s="2655"/>
      <c r="C38" s="2668"/>
      <c r="D38" s="254"/>
      <c r="E38" s="64"/>
      <c r="F38" s="64"/>
      <c r="G38" s="64"/>
      <c r="H38" s="65"/>
      <c r="I38" s="65"/>
      <c r="J38" s="65"/>
      <c r="K38" s="67"/>
      <c r="L38" s="68"/>
      <c r="M38" s="69"/>
      <c r="N38" s="70"/>
      <c r="O38" s="70"/>
      <c r="P38" s="70"/>
      <c r="Q38" s="70"/>
      <c r="R38" s="70"/>
      <c r="S38" s="70"/>
      <c r="T38" s="71"/>
      <c r="U38" s="72"/>
      <c r="V38" s="73"/>
      <c r="W38" s="73"/>
      <c r="X38" s="73"/>
      <c r="Y38" s="74"/>
      <c r="Z38" s="608"/>
      <c r="AA38" s="610"/>
      <c r="AB38" s="1378"/>
      <c r="AC38" s="1371"/>
      <c r="AD38" s="1509"/>
      <c r="AE38" s="1311"/>
      <c r="AF38" s="1311"/>
      <c r="AG38" s="1311"/>
      <c r="AH38" s="1371"/>
      <c r="AI38" s="1378"/>
      <c r="AJ38" s="1371"/>
      <c r="AK38" s="1378"/>
      <c r="AL38" s="1378"/>
      <c r="AM38" s="100"/>
      <c r="AN38" s="100"/>
      <c r="AO38" s="100"/>
      <c r="AP38" s="100"/>
      <c r="AQ38" s="100"/>
      <c r="AR38" s="100"/>
      <c r="AS38" s="100"/>
      <c r="AT38" s="100"/>
      <c r="AU38" s="100"/>
      <c r="AV38" s="100"/>
      <c r="AW38" s="101"/>
      <c r="AX38" s="101"/>
      <c r="AY38" s="101"/>
      <c r="AZ38" s="101"/>
      <c r="BA38" s="101"/>
      <c r="BB38" s="101"/>
      <c r="BC38" s="101"/>
      <c r="BG38" s="101"/>
      <c r="BH38" s="101"/>
      <c r="BI38" s="101"/>
      <c r="BJ38" s="101"/>
      <c r="BK38" s="101"/>
      <c r="BL38" s="101"/>
      <c r="BM38" s="101"/>
    </row>
    <row r="39" spans="1:65" s="49" customFormat="1" ht="29.25" customHeight="1" hidden="1" thickBot="1">
      <c r="A39" s="2655"/>
      <c r="B39" s="2655"/>
      <c r="C39" s="2656" t="s">
        <v>818</v>
      </c>
      <c r="D39" s="254"/>
      <c r="E39" s="64"/>
      <c r="F39" s="64"/>
      <c r="G39" s="64"/>
      <c r="H39" s="65"/>
      <c r="I39" s="65"/>
      <c r="J39" s="65"/>
      <c r="K39" s="67"/>
      <c r="L39" s="68"/>
      <c r="M39" s="69"/>
      <c r="N39" s="70"/>
      <c r="O39" s="70"/>
      <c r="P39" s="70"/>
      <c r="Q39" s="70"/>
      <c r="R39" s="70"/>
      <c r="S39" s="70"/>
      <c r="T39" s="71"/>
      <c r="U39" s="72"/>
      <c r="V39" s="73"/>
      <c r="W39" s="73"/>
      <c r="X39" s="73"/>
      <c r="Y39" s="74"/>
      <c r="Z39" s="608"/>
      <c r="AA39" s="610"/>
      <c r="AB39" s="1378"/>
      <c r="AC39" s="1371"/>
      <c r="AD39" s="1509"/>
      <c r="AE39" s="1311"/>
      <c r="AF39" s="1311"/>
      <c r="AG39" s="1311"/>
      <c r="AH39" s="1371"/>
      <c r="AI39" s="1378"/>
      <c r="AJ39" s="1378"/>
      <c r="AK39" s="1378"/>
      <c r="AL39" s="1378"/>
      <c r="AM39" s="100"/>
      <c r="AN39" s="100"/>
      <c r="AO39" s="100"/>
      <c r="AP39" s="100"/>
      <c r="AQ39" s="100"/>
      <c r="AR39" s="100"/>
      <c r="AS39" s="100"/>
      <c r="AT39" s="100"/>
      <c r="AU39" s="100"/>
      <c r="AV39" s="100"/>
      <c r="AW39" s="101"/>
      <c r="AX39" s="101"/>
      <c r="AY39" s="101"/>
      <c r="AZ39" s="101"/>
      <c r="BA39" s="101"/>
      <c r="BB39" s="101"/>
      <c r="BC39" s="101"/>
      <c r="BG39" s="101"/>
      <c r="BH39" s="101"/>
      <c r="BI39" s="101"/>
      <c r="BJ39" s="101"/>
      <c r="BK39" s="101"/>
      <c r="BL39" s="101"/>
      <c r="BM39" s="101"/>
    </row>
    <row r="40" spans="1:65" s="49" customFormat="1" ht="29.25" customHeight="1" hidden="1" thickBot="1">
      <c r="A40" s="2655"/>
      <c r="B40" s="2655"/>
      <c r="C40" s="2657"/>
      <c r="D40" s="254"/>
      <c r="E40" s="64"/>
      <c r="F40" s="64"/>
      <c r="G40" s="64"/>
      <c r="H40" s="65"/>
      <c r="I40" s="65"/>
      <c r="J40" s="65"/>
      <c r="K40" s="67"/>
      <c r="L40" s="68"/>
      <c r="M40" s="69"/>
      <c r="N40" s="70"/>
      <c r="O40" s="70"/>
      <c r="P40" s="70"/>
      <c r="Q40" s="70"/>
      <c r="R40" s="70"/>
      <c r="S40" s="70"/>
      <c r="T40" s="71"/>
      <c r="U40" s="72"/>
      <c r="V40" s="73"/>
      <c r="W40" s="73"/>
      <c r="X40" s="73"/>
      <c r="Y40" s="74"/>
      <c r="Z40" s="608"/>
      <c r="AA40" s="610"/>
      <c r="AB40" s="1378"/>
      <c r="AC40" s="1371"/>
      <c r="AD40" s="1509"/>
      <c r="AE40" s="1311"/>
      <c r="AF40" s="1311"/>
      <c r="AG40" s="1311"/>
      <c r="AH40" s="1371"/>
      <c r="AI40" s="1378"/>
      <c r="AJ40" s="1378"/>
      <c r="AK40" s="1378"/>
      <c r="AL40" s="1378"/>
      <c r="AM40" s="100"/>
      <c r="AN40" s="100"/>
      <c r="AO40" s="100"/>
      <c r="AP40" s="100"/>
      <c r="AQ40" s="100"/>
      <c r="AR40" s="100"/>
      <c r="AS40" s="100"/>
      <c r="AT40" s="100"/>
      <c r="AU40" s="100"/>
      <c r="AV40" s="100"/>
      <c r="AW40" s="101"/>
      <c r="AX40" s="101"/>
      <c r="AY40" s="101"/>
      <c r="AZ40" s="101"/>
      <c r="BA40" s="101"/>
      <c r="BB40" s="101"/>
      <c r="BC40" s="101"/>
      <c r="BG40" s="101"/>
      <c r="BH40" s="101"/>
      <c r="BI40" s="101"/>
      <c r="BJ40" s="101"/>
      <c r="BK40" s="101"/>
      <c r="BL40" s="101"/>
      <c r="BM40" s="101"/>
    </row>
    <row r="41" spans="1:65" s="49" customFormat="1" ht="44.25" customHeight="1" hidden="1" thickBot="1">
      <c r="A41" s="2655"/>
      <c r="B41" s="2655"/>
      <c r="C41" s="2664"/>
      <c r="D41" s="254"/>
      <c r="E41" s="64"/>
      <c r="F41" s="64"/>
      <c r="G41" s="64"/>
      <c r="H41" s="65"/>
      <c r="I41" s="65"/>
      <c r="J41" s="65"/>
      <c r="K41" s="67"/>
      <c r="L41" s="68"/>
      <c r="M41" s="69"/>
      <c r="N41" s="70"/>
      <c r="O41" s="70"/>
      <c r="P41" s="70"/>
      <c r="Q41" s="70"/>
      <c r="R41" s="70"/>
      <c r="S41" s="70"/>
      <c r="T41" s="71"/>
      <c r="U41" s="72"/>
      <c r="V41" s="73"/>
      <c r="W41" s="73"/>
      <c r="X41" s="73"/>
      <c r="Y41" s="74"/>
      <c r="Z41" s="608"/>
      <c r="AA41" s="610"/>
      <c r="AB41" s="1378"/>
      <c r="AC41" s="1371"/>
      <c r="AD41" s="1509"/>
      <c r="AE41" s="1311"/>
      <c r="AF41" s="1311"/>
      <c r="AG41" s="1311"/>
      <c r="AH41" s="1371"/>
      <c r="AI41" s="1378"/>
      <c r="AJ41" s="1378"/>
      <c r="AK41" s="1378"/>
      <c r="AL41" s="1378"/>
      <c r="AM41" s="100"/>
      <c r="AN41" s="100"/>
      <c r="AO41" s="100"/>
      <c r="AP41" s="100"/>
      <c r="AQ41" s="100"/>
      <c r="AR41" s="100"/>
      <c r="AS41" s="100"/>
      <c r="AT41" s="100"/>
      <c r="AU41" s="100"/>
      <c r="AV41" s="100"/>
      <c r="AW41" s="101"/>
      <c r="AX41" s="101"/>
      <c r="AY41" s="101"/>
      <c r="AZ41" s="101"/>
      <c r="BA41" s="101"/>
      <c r="BB41" s="101"/>
      <c r="BC41" s="101"/>
      <c r="BG41" s="101"/>
      <c r="BH41" s="101"/>
      <c r="BI41" s="101"/>
      <c r="BJ41" s="101"/>
      <c r="BK41" s="101"/>
      <c r="BL41" s="101"/>
      <c r="BM41" s="101"/>
    </row>
    <row r="42" spans="1:65" s="49" customFormat="1" ht="22.5" customHeight="1" hidden="1" thickBot="1">
      <c r="A42" s="2655"/>
      <c r="B42" s="2655"/>
      <c r="C42" s="2849" t="s">
        <v>819</v>
      </c>
      <c r="D42" s="254"/>
      <c r="E42" s="64"/>
      <c r="F42" s="64"/>
      <c r="G42" s="64"/>
      <c r="H42" s="65"/>
      <c r="I42" s="65"/>
      <c r="J42" s="65"/>
      <c r="K42" s="67"/>
      <c r="L42" s="68"/>
      <c r="M42" s="69"/>
      <c r="N42" s="70"/>
      <c r="O42" s="70"/>
      <c r="P42" s="70"/>
      <c r="Q42" s="70"/>
      <c r="R42" s="70"/>
      <c r="S42" s="70"/>
      <c r="T42" s="71"/>
      <c r="U42" s="72"/>
      <c r="V42" s="73"/>
      <c r="W42" s="73"/>
      <c r="X42" s="73"/>
      <c r="Y42" s="74"/>
      <c r="Z42" s="608"/>
      <c r="AA42" s="610"/>
      <c r="AB42" s="1378"/>
      <c r="AC42" s="1371"/>
      <c r="AD42" s="1509"/>
      <c r="AE42" s="1311"/>
      <c r="AF42" s="1311"/>
      <c r="AG42" s="1311"/>
      <c r="AH42" s="1328"/>
      <c r="AI42" s="1378"/>
      <c r="AJ42" s="1378"/>
      <c r="AK42" s="1378"/>
      <c r="AL42" s="1378"/>
      <c r="AM42" s="100"/>
      <c r="AN42" s="100"/>
      <c r="AO42" s="100"/>
      <c r="AP42" s="100"/>
      <c r="AQ42" s="100"/>
      <c r="AR42" s="100"/>
      <c r="AS42" s="100"/>
      <c r="AT42" s="100"/>
      <c r="AU42" s="100"/>
      <c r="AV42" s="100"/>
      <c r="AW42" s="101"/>
      <c r="AX42" s="101"/>
      <c r="AY42" s="101"/>
      <c r="AZ42" s="101"/>
      <c r="BA42" s="101"/>
      <c r="BB42" s="101"/>
      <c r="BC42" s="101"/>
      <c r="BG42" s="101"/>
      <c r="BH42" s="101"/>
      <c r="BI42" s="101"/>
      <c r="BJ42" s="101"/>
      <c r="BK42" s="101"/>
      <c r="BL42" s="101"/>
      <c r="BM42" s="101"/>
    </row>
    <row r="43" spans="1:65" s="49" customFormat="1" ht="22.5" customHeight="1" hidden="1" thickBot="1">
      <c r="A43" s="2655"/>
      <c r="B43" s="2655"/>
      <c r="C43" s="2657"/>
      <c r="D43" s="254"/>
      <c r="E43" s="64"/>
      <c r="F43" s="64"/>
      <c r="G43" s="64"/>
      <c r="H43" s="65"/>
      <c r="I43" s="65"/>
      <c r="J43" s="65"/>
      <c r="K43" s="67"/>
      <c r="L43" s="68"/>
      <c r="M43" s="69"/>
      <c r="N43" s="70"/>
      <c r="O43" s="70"/>
      <c r="P43" s="70"/>
      <c r="Q43" s="70"/>
      <c r="R43" s="70"/>
      <c r="S43" s="70"/>
      <c r="T43" s="71"/>
      <c r="U43" s="72"/>
      <c r="V43" s="73"/>
      <c r="W43" s="73"/>
      <c r="X43" s="73"/>
      <c r="Y43" s="74"/>
      <c r="Z43" s="608"/>
      <c r="AA43" s="610"/>
      <c r="AB43" s="1378"/>
      <c r="AC43" s="1371"/>
      <c r="AD43" s="1509"/>
      <c r="AE43" s="1311"/>
      <c r="AF43" s="1311"/>
      <c r="AG43" s="1311"/>
      <c r="AH43" s="1371"/>
      <c r="AI43" s="1378"/>
      <c r="AJ43" s="1378"/>
      <c r="AK43" s="1378"/>
      <c r="AL43" s="1378"/>
      <c r="AM43" s="100"/>
      <c r="AN43" s="100"/>
      <c r="AO43" s="100"/>
      <c r="AP43" s="100"/>
      <c r="AQ43" s="100"/>
      <c r="AR43" s="100"/>
      <c r="AS43" s="100"/>
      <c r="AT43" s="100"/>
      <c r="AU43" s="100"/>
      <c r="AV43" s="100"/>
      <c r="AW43" s="101"/>
      <c r="AX43" s="101"/>
      <c r="AY43" s="101"/>
      <c r="AZ43" s="101"/>
      <c r="BA43" s="101"/>
      <c r="BB43" s="101"/>
      <c r="BC43" s="101"/>
      <c r="BG43" s="101"/>
      <c r="BH43" s="101"/>
      <c r="BI43" s="101"/>
      <c r="BJ43" s="101"/>
      <c r="BK43" s="101"/>
      <c r="BL43" s="101"/>
      <c r="BM43" s="101"/>
    </row>
    <row r="44" spans="1:65" s="49" customFormat="1" ht="19.5" customHeight="1" hidden="1" thickBot="1">
      <c r="A44" s="2655"/>
      <c r="B44" s="2655"/>
      <c r="C44" s="2657"/>
      <c r="D44" s="254"/>
      <c r="E44" s="64"/>
      <c r="F44" s="64"/>
      <c r="G44" s="64"/>
      <c r="H44" s="65"/>
      <c r="I44" s="65"/>
      <c r="J44" s="65"/>
      <c r="K44" s="67"/>
      <c r="L44" s="68"/>
      <c r="M44" s="69"/>
      <c r="N44" s="70"/>
      <c r="O44" s="70"/>
      <c r="P44" s="70"/>
      <c r="Q44" s="70"/>
      <c r="R44" s="70"/>
      <c r="S44" s="70"/>
      <c r="T44" s="71"/>
      <c r="U44" s="72"/>
      <c r="V44" s="73"/>
      <c r="W44" s="73"/>
      <c r="X44" s="73"/>
      <c r="Y44" s="74"/>
      <c r="Z44" s="608"/>
      <c r="AA44" s="610"/>
      <c r="AB44" s="1378"/>
      <c r="AC44" s="1371"/>
      <c r="AD44" s="1509"/>
      <c r="AE44" s="1311"/>
      <c r="AF44" s="1311"/>
      <c r="AG44" s="1311"/>
      <c r="AH44" s="1371"/>
      <c r="AI44" s="1378"/>
      <c r="AJ44" s="1378"/>
      <c r="AK44" s="1378"/>
      <c r="AL44" s="1378"/>
      <c r="AM44" s="100"/>
      <c r="AN44" s="100"/>
      <c r="AO44" s="100"/>
      <c r="AP44" s="100"/>
      <c r="AQ44" s="100"/>
      <c r="AR44" s="100"/>
      <c r="AS44" s="100"/>
      <c r="AT44" s="100"/>
      <c r="AU44" s="100"/>
      <c r="AV44" s="100"/>
      <c r="AW44" s="101"/>
      <c r="AX44" s="101"/>
      <c r="AY44" s="101"/>
      <c r="AZ44" s="101"/>
      <c r="BA44" s="101"/>
      <c r="BB44" s="101"/>
      <c r="BC44" s="101"/>
      <c r="BG44" s="101"/>
      <c r="BH44" s="101"/>
      <c r="BI44" s="101"/>
      <c r="BJ44" s="101"/>
      <c r="BK44" s="101"/>
      <c r="BL44" s="101"/>
      <c r="BM44" s="101"/>
    </row>
    <row r="45" spans="1:65" s="49" customFormat="1" ht="23.25" customHeight="1" hidden="1" thickBot="1">
      <c r="A45" s="2659"/>
      <c r="B45" s="2659"/>
      <c r="C45" s="2664"/>
      <c r="D45" s="254"/>
      <c r="E45" s="64"/>
      <c r="F45" s="64"/>
      <c r="G45" s="64"/>
      <c r="H45" s="65"/>
      <c r="I45" s="65"/>
      <c r="J45" s="65"/>
      <c r="K45" s="67"/>
      <c r="L45" s="68"/>
      <c r="M45" s="69"/>
      <c r="N45" s="70"/>
      <c r="O45" s="70"/>
      <c r="P45" s="70"/>
      <c r="Q45" s="70"/>
      <c r="R45" s="70"/>
      <c r="S45" s="70"/>
      <c r="T45" s="71"/>
      <c r="U45" s="72"/>
      <c r="V45" s="73"/>
      <c r="W45" s="73"/>
      <c r="X45" s="73"/>
      <c r="Y45" s="74"/>
      <c r="Z45" s="608"/>
      <c r="AA45" s="610"/>
      <c r="AB45" s="1378"/>
      <c r="AC45" s="1371"/>
      <c r="AD45" s="1509"/>
      <c r="AE45" s="1311"/>
      <c r="AF45" s="1311"/>
      <c r="AG45" s="1311"/>
      <c r="AH45" s="1371"/>
      <c r="AI45" s="1378"/>
      <c r="AJ45" s="1378"/>
      <c r="AK45" s="1378"/>
      <c r="AL45" s="1378"/>
      <c r="AM45" s="100"/>
      <c r="AN45" s="100"/>
      <c r="AO45" s="100"/>
      <c r="AP45" s="100"/>
      <c r="AQ45" s="100"/>
      <c r="AR45" s="100"/>
      <c r="AS45" s="100"/>
      <c r="AT45" s="100"/>
      <c r="AU45" s="100"/>
      <c r="AV45" s="100"/>
      <c r="AW45" s="101"/>
      <c r="AX45" s="101"/>
      <c r="AY45" s="101"/>
      <c r="AZ45" s="101"/>
      <c r="BA45" s="101"/>
      <c r="BB45" s="101"/>
      <c r="BC45" s="101"/>
      <c r="BG45" s="101"/>
      <c r="BH45" s="101"/>
      <c r="BI45" s="101"/>
      <c r="BJ45" s="101"/>
      <c r="BK45" s="101"/>
      <c r="BL45" s="101"/>
      <c r="BM45" s="101"/>
    </row>
    <row r="46" spans="1:65" s="606" customFormat="1" ht="20.1" customHeight="1" hidden="1" thickBot="1">
      <c r="A46" s="2652" t="s">
        <v>130</v>
      </c>
      <c r="B46" s="2653"/>
      <c r="C46" s="2653"/>
      <c r="D46" s="2654"/>
      <c r="E46" s="1756"/>
      <c r="F46" s="1757"/>
      <c r="G46" s="1757"/>
      <c r="H46" s="1757"/>
      <c r="I46" s="1757"/>
      <c r="J46" s="1757"/>
      <c r="K46" s="1757"/>
      <c r="L46" s="1757"/>
      <c r="M46" s="1757"/>
      <c r="N46" s="1757"/>
      <c r="O46" s="1757"/>
      <c r="P46" s="1757"/>
      <c r="Q46" s="1757"/>
      <c r="R46" s="1757"/>
      <c r="S46" s="1757"/>
      <c r="T46" s="1757"/>
      <c r="U46" s="1757"/>
      <c r="V46" s="1757"/>
      <c r="W46" s="1757"/>
      <c r="X46" s="1757"/>
      <c r="Y46" s="87"/>
      <c r="Z46" s="88">
        <f>SUM(Z28:Z45)</f>
        <v>0</v>
      </c>
      <c r="AA46" s="1758"/>
      <c r="AB46" s="90"/>
      <c r="AC46" s="1566"/>
      <c r="AD46" s="1516"/>
      <c r="AE46" s="1308"/>
      <c r="AF46" s="1308"/>
      <c r="AG46" s="1308"/>
      <c r="AH46" s="1324"/>
      <c r="AI46" s="1324"/>
      <c r="AJ46" s="1324"/>
      <c r="AK46" s="1324"/>
      <c r="AL46" s="1324"/>
      <c r="AM46" s="1325"/>
      <c r="AN46" s="1325"/>
      <c r="AO46" s="1325"/>
      <c r="AP46" s="1325"/>
      <c r="AQ46" s="1325"/>
      <c r="AR46" s="1325"/>
      <c r="AS46" s="1325"/>
      <c r="AT46" s="1325"/>
      <c r="AU46" s="1325"/>
      <c r="AV46" s="1325"/>
      <c r="AW46" s="1325"/>
      <c r="AX46" s="1325"/>
      <c r="AY46" s="1325"/>
      <c r="AZ46" s="1325"/>
      <c r="BA46" s="1325"/>
      <c r="BB46" s="1325"/>
      <c r="BC46" s="1325"/>
      <c r="BG46" s="1325"/>
      <c r="BH46" s="1325"/>
      <c r="BI46" s="1325"/>
      <c r="BJ46" s="1325"/>
      <c r="BK46" s="1325"/>
      <c r="BL46" s="1325"/>
      <c r="BM46" s="1325"/>
    </row>
    <row r="47" spans="1:65" s="606" customFormat="1" ht="20.1" customHeight="1" hidden="1" thickBot="1">
      <c r="A47" s="2669" t="s">
        <v>290</v>
      </c>
      <c r="B47" s="2669"/>
      <c r="C47" s="2669"/>
      <c r="D47" s="2669"/>
      <c r="E47" s="219"/>
      <c r="F47" s="219"/>
      <c r="G47" s="219"/>
      <c r="H47" s="1772"/>
      <c r="I47" s="1772"/>
      <c r="J47" s="1772"/>
      <c r="K47" s="1772"/>
      <c r="L47" s="1772"/>
      <c r="M47" s="1772"/>
      <c r="N47" s="1772"/>
      <c r="O47" s="1772"/>
      <c r="P47" s="1772"/>
      <c r="Q47" s="1772"/>
      <c r="R47" s="1772"/>
      <c r="S47" s="1772"/>
      <c r="T47" s="1772"/>
      <c r="U47" s="1772"/>
      <c r="V47" s="1772"/>
      <c r="W47" s="1772"/>
      <c r="X47" s="1772"/>
      <c r="Y47" s="222"/>
      <c r="Z47" s="223" t="e">
        <f>SUM(Z12,#REF!,Z46,Z24)</f>
        <v>#REF!</v>
      </c>
      <c r="AA47" s="1773"/>
      <c r="AB47" s="1329"/>
      <c r="AC47" s="306"/>
      <c r="AD47" s="1517"/>
      <c r="AE47" s="1309"/>
      <c r="AF47" s="1309"/>
      <c r="AG47" s="1309"/>
      <c r="AH47" s="1329"/>
      <c r="AI47" s="1329"/>
      <c r="AJ47" s="1329"/>
      <c r="AK47" s="1329"/>
      <c r="AL47" s="1329"/>
      <c r="AM47" s="1329"/>
      <c r="AN47" s="1329"/>
      <c r="AO47" s="1329"/>
      <c r="AP47" s="1329"/>
      <c r="AQ47" s="1329"/>
      <c r="AR47" s="1329"/>
      <c r="AS47" s="1329"/>
      <c r="AT47" s="1329"/>
      <c r="AU47" s="1329"/>
      <c r="AV47" s="1329"/>
      <c r="AW47" s="1329"/>
      <c r="AX47" s="1329"/>
      <c r="AY47" s="1329"/>
      <c r="AZ47" s="1329"/>
      <c r="BA47" s="1329"/>
      <c r="BB47" s="1329"/>
      <c r="BC47" s="1329"/>
      <c r="BG47" s="1329"/>
      <c r="BH47" s="1329"/>
      <c r="BI47" s="1329"/>
      <c r="BJ47" s="1329"/>
      <c r="BK47" s="1329"/>
      <c r="BL47" s="1329"/>
      <c r="BM47" s="1329"/>
    </row>
    <row r="48" spans="1:65" s="13" customFormat="1" ht="9.95" customHeight="1" thickBot="1">
      <c r="A48" s="2663"/>
      <c r="B48" s="2663"/>
      <c r="C48" s="2663"/>
      <c r="D48" s="2663"/>
      <c r="E48" s="2663"/>
      <c r="F48" s="2663"/>
      <c r="G48" s="2663"/>
      <c r="H48" s="2663"/>
      <c r="I48" s="2663"/>
      <c r="J48" s="2663"/>
      <c r="K48" s="2663"/>
      <c r="L48" s="2663"/>
      <c r="M48" s="2663"/>
      <c r="N48" s="2663"/>
      <c r="O48" s="2663"/>
      <c r="P48" s="2663"/>
      <c r="Q48" s="2663"/>
      <c r="R48" s="2663"/>
      <c r="S48" s="2663"/>
      <c r="T48" s="2663"/>
      <c r="U48" s="2663"/>
      <c r="V48" s="2663"/>
      <c r="W48" s="2663"/>
      <c r="X48" s="2663"/>
      <c r="Y48" s="2663"/>
      <c r="Z48" s="2663"/>
      <c r="AA48" s="2663"/>
      <c r="AB48" s="313"/>
      <c r="AC48" s="1565"/>
      <c r="AD48" s="1514"/>
      <c r="AE48" s="1310"/>
      <c r="AF48" s="1310"/>
      <c r="AG48" s="1310"/>
      <c r="AH48" s="313"/>
      <c r="AI48" s="313"/>
      <c r="AJ48" s="313"/>
      <c r="AK48" s="313"/>
      <c r="AL48" s="313"/>
      <c r="AM48" s="314"/>
      <c r="AN48" s="314"/>
      <c r="AO48" s="314"/>
      <c r="AP48" s="314"/>
      <c r="AQ48" s="314"/>
      <c r="AR48" s="314"/>
      <c r="AS48" s="314"/>
      <c r="AT48" s="314"/>
      <c r="AU48" s="314"/>
      <c r="AV48" s="314"/>
      <c r="AW48" s="314"/>
      <c r="AX48" s="314"/>
      <c r="AY48" s="314"/>
      <c r="AZ48" s="314"/>
      <c r="BA48" s="314"/>
      <c r="BB48" s="314"/>
      <c r="BC48" s="314"/>
      <c r="BG48" s="314"/>
      <c r="BH48" s="314"/>
      <c r="BI48" s="314"/>
      <c r="BJ48" s="314"/>
      <c r="BK48" s="314"/>
      <c r="BL48" s="314"/>
      <c r="BM48" s="314"/>
    </row>
    <row r="49" spans="1:68" s="4" customFormat="1" ht="21" customHeight="1" thickBot="1">
      <c r="A49" s="2645" t="s">
        <v>9</v>
      </c>
      <c r="B49" s="2646"/>
      <c r="C49" s="2646"/>
      <c r="D49" s="2647"/>
      <c r="E49" s="2648" t="s">
        <v>820</v>
      </c>
      <c r="F49" s="2649"/>
      <c r="G49" s="2649"/>
      <c r="H49" s="2649"/>
      <c r="I49" s="2649"/>
      <c r="J49" s="2649"/>
      <c r="K49" s="2649"/>
      <c r="L49" s="2649"/>
      <c r="M49" s="2649"/>
      <c r="N49" s="2649"/>
      <c r="O49" s="2649"/>
      <c r="P49" s="2649"/>
      <c r="Q49" s="2649"/>
      <c r="R49" s="2649"/>
      <c r="S49" s="2649"/>
      <c r="T49" s="2649"/>
      <c r="U49" s="2649"/>
      <c r="V49" s="2649"/>
      <c r="W49" s="2649"/>
      <c r="X49" s="2649"/>
      <c r="Y49" s="2649"/>
      <c r="Z49" s="2649"/>
      <c r="AA49" s="2650"/>
      <c r="AB49" s="2651" t="s">
        <v>820</v>
      </c>
      <c r="AC49" s="2651"/>
      <c r="AD49" s="2651"/>
      <c r="AE49" s="2651"/>
      <c r="AF49" s="2651"/>
      <c r="AG49" s="2651"/>
      <c r="AH49" s="2651"/>
      <c r="AI49" s="2651"/>
      <c r="AJ49" s="2651"/>
      <c r="AK49" s="2651"/>
      <c r="AL49" s="2651"/>
      <c r="AM49" s="2651" t="s">
        <v>820</v>
      </c>
      <c r="AN49" s="2651"/>
      <c r="AO49" s="2651"/>
      <c r="AP49" s="2651"/>
      <c r="AQ49" s="2651"/>
      <c r="AR49" s="2651"/>
      <c r="AS49" s="2651"/>
      <c r="AT49" s="2651"/>
      <c r="AU49" s="2651"/>
      <c r="AV49" s="2651"/>
      <c r="AW49" s="2648" t="s">
        <v>820</v>
      </c>
      <c r="AX49" s="2649"/>
      <c r="AY49" s="2649"/>
      <c r="AZ49" s="2649"/>
      <c r="BA49" s="2649"/>
      <c r="BB49" s="2649"/>
      <c r="BC49" s="2649"/>
      <c r="BD49" s="2649"/>
      <c r="BE49" s="2649"/>
      <c r="BF49" s="2650"/>
      <c r="BG49" s="2648" t="s">
        <v>820</v>
      </c>
      <c r="BH49" s="2649"/>
      <c r="BI49" s="2649"/>
      <c r="BJ49" s="2649"/>
      <c r="BK49" s="2649"/>
      <c r="BL49" s="2649"/>
      <c r="BM49" s="2649"/>
      <c r="BN49" s="2649"/>
      <c r="BO49" s="2649"/>
      <c r="BP49" s="2650"/>
    </row>
    <row r="50" spans="2:38" s="13" customFormat="1" ht="9.95" customHeight="1" thickBot="1">
      <c r="B50" s="14"/>
      <c r="F50" s="243"/>
      <c r="I50" s="244"/>
      <c r="K50" s="245"/>
      <c r="L50" s="245"/>
      <c r="Y50" s="246"/>
      <c r="Z50" s="388"/>
      <c r="AB50" s="1340"/>
      <c r="AC50" s="1564"/>
      <c r="AD50" s="1506"/>
      <c r="AE50" s="1307"/>
      <c r="AF50" s="1307"/>
      <c r="AG50" s="1307"/>
      <c r="AH50" s="1340"/>
      <c r="AI50" s="1340"/>
      <c r="AJ50" s="1340"/>
      <c r="AK50" s="1340"/>
      <c r="AL50" s="1340"/>
    </row>
    <row r="51" spans="1:68" s="35" customFormat="1" ht="39" thickBot="1">
      <c r="A51" s="22" t="s">
        <v>11</v>
      </c>
      <c r="B51" s="23" t="s">
        <v>12</v>
      </c>
      <c r="C51" s="22" t="s">
        <v>13</v>
      </c>
      <c r="D51" s="249" t="s">
        <v>14</v>
      </c>
      <c r="E51" s="24" t="s">
        <v>15</v>
      </c>
      <c r="F51" s="25" t="s">
        <v>16</v>
      </c>
      <c r="G51" s="26" t="s">
        <v>17</v>
      </c>
      <c r="H51" s="26" t="s">
        <v>18</v>
      </c>
      <c r="I51" s="27" t="s">
        <v>19</v>
      </c>
      <c r="J51" s="26" t="s">
        <v>20</v>
      </c>
      <c r="K51" s="26" t="s">
        <v>21</v>
      </c>
      <c r="L51" s="26" t="s">
        <v>22</v>
      </c>
      <c r="M51" s="28" t="s">
        <v>23</v>
      </c>
      <c r="N51" s="28" t="s">
        <v>24</v>
      </c>
      <c r="O51" s="28" t="s">
        <v>25</v>
      </c>
      <c r="P51" s="28" t="s">
        <v>26</v>
      </c>
      <c r="Q51" s="28" t="s">
        <v>27</v>
      </c>
      <c r="R51" s="28" t="s">
        <v>28</v>
      </c>
      <c r="S51" s="28" t="s">
        <v>29</v>
      </c>
      <c r="T51" s="28" t="s">
        <v>30</v>
      </c>
      <c r="U51" s="28" t="s">
        <v>31</v>
      </c>
      <c r="V51" s="28" t="s">
        <v>32</v>
      </c>
      <c r="W51" s="28" t="s">
        <v>33</v>
      </c>
      <c r="X51" s="28" t="s">
        <v>34</v>
      </c>
      <c r="Y51" s="29" t="s">
        <v>35</v>
      </c>
      <c r="Z51" s="30" t="s">
        <v>36</v>
      </c>
      <c r="AA51" s="31" t="s">
        <v>37</v>
      </c>
      <c r="AB51" s="1322" t="s">
        <v>38</v>
      </c>
      <c r="AC51" s="1631" t="s">
        <v>1781</v>
      </c>
      <c r="AD51" s="1508" t="s">
        <v>39</v>
      </c>
      <c r="AE51" s="1614" t="s">
        <v>1821</v>
      </c>
      <c r="AF51" s="1614" t="s">
        <v>1822</v>
      </c>
      <c r="AG51" s="1613" t="s">
        <v>1783</v>
      </c>
      <c r="AH51" s="1322" t="s">
        <v>40</v>
      </c>
      <c r="AI51" s="1322" t="s">
        <v>41</v>
      </c>
      <c r="AJ51" s="1322" t="s">
        <v>42</v>
      </c>
      <c r="AK51" s="1322" t="s">
        <v>43</v>
      </c>
      <c r="AL51" s="1322" t="s">
        <v>44</v>
      </c>
      <c r="AM51" s="33" t="s">
        <v>45</v>
      </c>
      <c r="AN51" s="33" t="s">
        <v>1781</v>
      </c>
      <c r="AO51" s="33" t="s">
        <v>46</v>
      </c>
      <c r="AP51" s="33" t="s">
        <v>2193</v>
      </c>
      <c r="AQ51" s="33" t="s">
        <v>1822</v>
      </c>
      <c r="AR51" s="33" t="s">
        <v>2164</v>
      </c>
      <c r="AS51" s="33" t="s">
        <v>41</v>
      </c>
      <c r="AT51" s="33" t="s">
        <v>42</v>
      </c>
      <c r="AU51" s="33" t="s">
        <v>43</v>
      </c>
      <c r="AV51" s="33" t="s">
        <v>44</v>
      </c>
      <c r="AW51" s="1983" t="s">
        <v>47</v>
      </c>
      <c r="AX51" s="1983" t="s">
        <v>1781</v>
      </c>
      <c r="AY51" s="1983" t="s">
        <v>48</v>
      </c>
      <c r="AZ51" s="1983" t="s">
        <v>2453</v>
      </c>
      <c r="BA51" s="1983" t="s">
        <v>1822</v>
      </c>
      <c r="BB51" s="1983" t="s">
        <v>2698</v>
      </c>
      <c r="BC51" s="1983" t="s">
        <v>41</v>
      </c>
      <c r="BD51" s="1983" t="s">
        <v>42</v>
      </c>
      <c r="BE51" s="1983" t="s">
        <v>43</v>
      </c>
      <c r="BF51" s="1983" t="s">
        <v>44</v>
      </c>
      <c r="BG51" s="2079" t="s">
        <v>49</v>
      </c>
      <c r="BH51" s="2079" t="s">
        <v>1781</v>
      </c>
      <c r="BI51" s="2079" t="s">
        <v>50</v>
      </c>
      <c r="BJ51" s="2079" t="s">
        <v>2946</v>
      </c>
      <c r="BK51" s="2079" t="s">
        <v>1822</v>
      </c>
      <c r="BL51" s="2079" t="s">
        <v>2947</v>
      </c>
      <c r="BM51" s="2079" t="s">
        <v>41</v>
      </c>
      <c r="BN51" s="2079" t="s">
        <v>42</v>
      </c>
      <c r="BO51" s="2079" t="s">
        <v>43</v>
      </c>
      <c r="BP51" s="2479" t="s">
        <v>44</v>
      </c>
    </row>
    <row r="52" spans="1:68" s="49" customFormat="1" ht="64.5" thickBot="1">
      <c r="A52" s="1760">
        <v>1</v>
      </c>
      <c r="B52" s="1760" t="s">
        <v>821</v>
      </c>
      <c r="C52" s="1764" t="s">
        <v>822</v>
      </c>
      <c r="D52" s="1768" t="s">
        <v>823</v>
      </c>
      <c r="E52" s="352" t="s">
        <v>231</v>
      </c>
      <c r="F52" s="309">
        <v>1</v>
      </c>
      <c r="G52" s="354" t="s">
        <v>811</v>
      </c>
      <c r="H52" s="355" t="s">
        <v>801</v>
      </c>
      <c r="I52" s="390">
        <v>1</v>
      </c>
      <c r="J52" s="65" t="s">
        <v>812</v>
      </c>
      <c r="K52" s="67">
        <v>42005</v>
      </c>
      <c r="L52" s="68">
        <v>42369</v>
      </c>
      <c r="M52" s="357"/>
      <c r="N52" s="357"/>
      <c r="O52" s="357"/>
      <c r="P52" s="357"/>
      <c r="Q52" s="357"/>
      <c r="R52" s="357"/>
      <c r="S52" s="2168">
        <v>1</v>
      </c>
      <c r="T52" s="2168"/>
      <c r="U52" s="2169"/>
      <c r="V52" s="2169"/>
      <c r="W52" s="2169"/>
      <c r="X52" s="2169"/>
      <c r="Y52" s="2170">
        <v>1</v>
      </c>
      <c r="Z52" s="391">
        <v>0</v>
      </c>
      <c r="AA52" s="611" t="s">
        <v>1090</v>
      </c>
      <c r="AB52" s="1378" t="s">
        <v>100</v>
      </c>
      <c r="AC52" s="1371">
        <f aca="true" t="shared" si="14" ref="AC52">IF(AB52=0,0%,100%)</f>
        <v>1</v>
      </c>
      <c r="AD52" s="1509" t="s">
        <v>1090</v>
      </c>
      <c r="AE52" s="1311" t="s">
        <v>1090</v>
      </c>
      <c r="AF52" s="1311" t="s">
        <v>1090</v>
      </c>
      <c r="AG52" s="1311" t="str">
        <f>AF52</f>
        <v>-</v>
      </c>
      <c r="AH52" s="1371"/>
      <c r="AI52" s="1378"/>
      <c r="AJ52" s="1378"/>
      <c r="AK52" s="1378"/>
      <c r="AL52" s="1378"/>
      <c r="AM52" s="1692">
        <f>SUM(M52:P52)</f>
        <v>0</v>
      </c>
      <c r="AN52" s="1699">
        <f aca="true" t="shared" si="15" ref="AN52">IF(AM52=0,0%,100%)</f>
        <v>0</v>
      </c>
      <c r="AO52" s="1694">
        <v>0</v>
      </c>
      <c r="AP52" s="1692" t="s">
        <v>1090</v>
      </c>
      <c r="AQ52" s="1692" t="s">
        <v>1090</v>
      </c>
      <c r="AR52" s="1699" t="str">
        <f aca="true" t="shared" si="16" ref="AR52">IF(AN52&gt;0,AP52,"-")</f>
        <v>-</v>
      </c>
      <c r="AS52" s="1692"/>
      <c r="AT52" s="1692"/>
      <c r="AU52" s="1692" t="s">
        <v>2357</v>
      </c>
      <c r="AV52" s="1692"/>
      <c r="AW52" s="2084">
        <f>SUM(M52:R52)</f>
        <v>0</v>
      </c>
      <c r="AX52" s="2085">
        <f aca="true" t="shared" si="17" ref="AX52">IF(AW52=0,0%,100%)</f>
        <v>0</v>
      </c>
      <c r="AY52" s="1989">
        <v>0</v>
      </c>
      <c r="AZ52" s="1990" t="s">
        <v>1090</v>
      </c>
      <c r="BA52" s="2200" t="s">
        <v>1090</v>
      </c>
      <c r="BB52" s="2201" t="s">
        <v>1090</v>
      </c>
      <c r="BC52" s="1989"/>
      <c r="BD52" s="1989"/>
      <c r="BE52" s="101"/>
      <c r="BF52" s="101"/>
      <c r="BG52" s="2339">
        <f>SUM(M52:T52)</f>
        <v>1</v>
      </c>
      <c r="BH52" s="2373">
        <f aca="true" t="shared" si="18" ref="BH52">IF(BG52=0,0%,100%)</f>
        <v>1</v>
      </c>
      <c r="BI52" s="2337">
        <v>1</v>
      </c>
      <c r="BJ52" s="2336">
        <v>1</v>
      </c>
      <c r="BK52" s="2405"/>
      <c r="BL52" s="2406">
        <v>1</v>
      </c>
      <c r="BM52" s="2337"/>
      <c r="BN52" s="2337"/>
      <c r="BO52" s="2408" t="s">
        <v>3124</v>
      </c>
      <c r="BP52" s="2408"/>
    </row>
    <row r="53" spans="1:68" s="606" customFormat="1" ht="20.1" customHeight="1" thickBot="1">
      <c r="A53" s="2652" t="s">
        <v>130</v>
      </c>
      <c r="B53" s="2653"/>
      <c r="C53" s="2653"/>
      <c r="D53" s="2654"/>
      <c r="E53" s="1757"/>
      <c r="F53" s="1757"/>
      <c r="G53" s="1757"/>
      <c r="H53" s="1757"/>
      <c r="I53" s="86">
        <f>+I52</f>
        <v>1</v>
      </c>
      <c r="J53" s="1757"/>
      <c r="K53" s="1757"/>
      <c r="L53" s="1757"/>
      <c r="M53" s="1757"/>
      <c r="N53" s="1757"/>
      <c r="O53" s="1757"/>
      <c r="P53" s="1757"/>
      <c r="Q53" s="1757"/>
      <c r="R53" s="1757"/>
      <c r="S53" s="1757"/>
      <c r="T53" s="1757"/>
      <c r="U53" s="1757"/>
      <c r="V53" s="1757"/>
      <c r="W53" s="1757"/>
      <c r="X53" s="1757"/>
      <c r="Y53" s="87"/>
      <c r="Z53" s="88">
        <f>SUM(Z52:Z52)</f>
        <v>0</v>
      </c>
      <c r="AA53" s="1758"/>
      <c r="AB53" s="1495"/>
      <c r="AC53" s="1496">
        <f>AVERAGEIF(AC52,"&gt;0")</f>
        <v>1</v>
      </c>
      <c r="AD53" s="1511"/>
      <c r="AE53" s="1494" t="s">
        <v>1090</v>
      </c>
      <c r="AF53" s="1494"/>
      <c r="AG53" s="1494" t="s">
        <v>1090</v>
      </c>
      <c r="AH53" s="1324"/>
      <c r="AI53" s="1324"/>
      <c r="AJ53" s="1324"/>
      <c r="AK53" s="1324"/>
      <c r="AL53" s="1324"/>
      <c r="AM53" s="1325"/>
      <c r="AN53" s="1875">
        <v>1</v>
      </c>
      <c r="AO53" s="1325"/>
      <c r="AP53" s="1325" t="s">
        <v>1090</v>
      </c>
      <c r="AQ53" s="1325"/>
      <c r="AR53" s="1325" t="s">
        <v>1090</v>
      </c>
      <c r="AS53" s="1325"/>
      <c r="AT53" s="1325"/>
      <c r="AU53" s="1325"/>
      <c r="AV53" s="1325"/>
      <c r="AW53" s="1325"/>
      <c r="AX53" s="1878">
        <v>1</v>
      </c>
      <c r="AY53" s="1325"/>
      <c r="AZ53" s="1325" t="s">
        <v>1090</v>
      </c>
      <c r="BA53" s="1325"/>
      <c r="BB53" s="1878" t="s">
        <v>1090</v>
      </c>
      <c r="BC53" s="1325"/>
      <c r="BD53" s="1325"/>
      <c r="BE53" s="1325"/>
      <c r="BF53" s="1325"/>
      <c r="BG53" s="1325"/>
      <c r="BH53" s="2204">
        <v>1</v>
      </c>
      <c r="BI53" s="2203"/>
      <c r="BJ53" s="2204">
        <v>1</v>
      </c>
      <c r="BK53" s="2203"/>
      <c r="BL53" s="2204">
        <v>1</v>
      </c>
      <c r="BM53" s="1325"/>
      <c r="BN53" s="1325"/>
      <c r="BO53" s="1325"/>
      <c r="BP53" s="1325"/>
    </row>
    <row r="54" spans="1:68" s="606" customFormat="1" ht="20.1" customHeight="1" thickBot="1">
      <c r="A54" s="2660" t="s">
        <v>290</v>
      </c>
      <c r="B54" s="2661"/>
      <c r="C54" s="2661"/>
      <c r="D54" s="2662"/>
      <c r="E54" s="219"/>
      <c r="F54" s="219"/>
      <c r="G54" s="219"/>
      <c r="H54" s="1772"/>
      <c r="I54" s="1772"/>
      <c r="J54" s="1772"/>
      <c r="K54" s="1772"/>
      <c r="L54" s="1772"/>
      <c r="M54" s="1772"/>
      <c r="N54" s="1772"/>
      <c r="O54" s="1772"/>
      <c r="P54" s="1772"/>
      <c r="Q54" s="1772"/>
      <c r="R54" s="1772"/>
      <c r="S54" s="1772"/>
      <c r="T54" s="1772"/>
      <c r="U54" s="1772"/>
      <c r="V54" s="1772"/>
      <c r="W54" s="1772"/>
      <c r="X54" s="1772"/>
      <c r="Y54" s="222"/>
      <c r="Z54" s="223">
        <f>+Z53</f>
        <v>0</v>
      </c>
      <c r="AA54" s="1773"/>
      <c r="AB54" s="1765"/>
      <c r="AC54" s="1342">
        <f>AVERAGE(AC53)</f>
        <v>1</v>
      </c>
      <c r="AD54" s="1513"/>
      <c r="AE54" s="1312" t="s">
        <v>1090</v>
      </c>
      <c r="AF54" s="1312"/>
      <c r="AG54" s="1312" t="s">
        <v>1090</v>
      </c>
      <c r="AH54" s="1765"/>
      <c r="AI54" s="1765"/>
      <c r="AJ54" s="1765"/>
      <c r="AK54" s="1765"/>
      <c r="AL54" s="1765"/>
      <c r="AM54" s="1765"/>
      <c r="AN54" s="1312">
        <v>1</v>
      </c>
      <c r="AO54" s="1765"/>
      <c r="AP54" s="1765" t="s">
        <v>1090</v>
      </c>
      <c r="AQ54" s="1765"/>
      <c r="AR54" s="1312">
        <v>0</v>
      </c>
      <c r="AS54" s="1765"/>
      <c r="AT54" s="1765"/>
      <c r="AU54" s="1765"/>
      <c r="AV54" s="1765"/>
      <c r="AW54" s="1765"/>
      <c r="AX54" s="1312">
        <v>1</v>
      </c>
      <c r="AY54" s="1765"/>
      <c r="AZ54" s="1765" t="s">
        <v>1090</v>
      </c>
      <c r="BA54" s="1765"/>
      <c r="BB54" s="1312" t="s">
        <v>1090</v>
      </c>
      <c r="BC54" s="1765"/>
      <c r="BD54" s="1991"/>
      <c r="BE54" s="1991"/>
      <c r="BF54" s="1991"/>
      <c r="BG54" s="1527"/>
      <c r="BH54" s="1525">
        <v>1</v>
      </c>
      <c r="BI54" s="1527"/>
      <c r="BJ54" s="1546">
        <f>AVERAGE(BJ53)</f>
        <v>1</v>
      </c>
      <c r="BK54" s="1527"/>
      <c r="BL54" s="1525">
        <f>AVERAGE(BL53)</f>
        <v>1</v>
      </c>
      <c r="BM54" s="2326"/>
      <c r="BN54" s="2326"/>
      <c r="BO54" s="2326"/>
      <c r="BP54" s="2326"/>
    </row>
    <row r="55" spans="1:65" s="13" customFormat="1" ht="9.95" customHeight="1">
      <c r="A55" s="2663"/>
      <c r="B55" s="2663"/>
      <c r="C55" s="2663"/>
      <c r="D55" s="2663"/>
      <c r="E55" s="2663"/>
      <c r="F55" s="2663"/>
      <c r="G55" s="2663"/>
      <c r="H55" s="2663"/>
      <c r="I55" s="2663"/>
      <c r="J55" s="2663"/>
      <c r="K55" s="2663"/>
      <c r="L55" s="2663"/>
      <c r="M55" s="2663"/>
      <c r="N55" s="2663"/>
      <c r="O55" s="2663"/>
      <c r="P55" s="2663"/>
      <c r="Q55" s="2663"/>
      <c r="R55" s="2663"/>
      <c r="S55" s="2663"/>
      <c r="T55" s="2663"/>
      <c r="U55" s="2663"/>
      <c r="V55" s="2663"/>
      <c r="W55" s="2663"/>
      <c r="X55" s="2663"/>
      <c r="Y55" s="2663"/>
      <c r="Z55" s="2663"/>
      <c r="AA55" s="2663"/>
      <c r="AB55" s="392"/>
      <c r="AC55" s="1567"/>
      <c r="AD55" s="1518"/>
      <c r="AE55" s="1313"/>
      <c r="AF55" s="1313"/>
      <c r="AG55" s="1313"/>
      <c r="AH55" s="392"/>
      <c r="AI55" s="392"/>
      <c r="AJ55" s="392"/>
      <c r="AK55" s="392"/>
      <c r="AL55" s="392"/>
      <c r="AM55" s="392"/>
      <c r="AN55" s="392"/>
      <c r="AO55" s="392"/>
      <c r="AP55" s="392"/>
      <c r="AQ55" s="392"/>
      <c r="AR55" s="392"/>
      <c r="AS55" s="392"/>
      <c r="AT55" s="392"/>
      <c r="AU55" s="392"/>
      <c r="AV55" s="392"/>
      <c r="AW55" s="392"/>
      <c r="AX55" s="392"/>
      <c r="AY55" s="392"/>
      <c r="AZ55" s="392"/>
      <c r="BA55" s="392"/>
      <c r="BB55" s="392"/>
      <c r="BC55" s="392"/>
      <c r="BG55" s="392"/>
      <c r="BH55" s="392"/>
      <c r="BI55" s="392"/>
      <c r="BJ55" s="392"/>
      <c r="BK55" s="392"/>
      <c r="BL55" s="392"/>
      <c r="BM55" s="392"/>
    </row>
    <row r="56" spans="1:65" s="13" customFormat="1" ht="9.95" customHeight="1" thickBot="1">
      <c r="A56" s="2663"/>
      <c r="B56" s="2663"/>
      <c r="C56" s="2663"/>
      <c r="D56" s="2663"/>
      <c r="E56" s="2663"/>
      <c r="F56" s="2663"/>
      <c r="G56" s="2663"/>
      <c r="H56" s="2663"/>
      <c r="I56" s="2663"/>
      <c r="J56" s="2663"/>
      <c r="K56" s="2663"/>
      <c r="L56" s="2663"/>
      <c r="M56" s="2663"/>
      <c r="N56" s="2663"/>
      <c r="O56" s="2663"/>
      <c r="P56" s="2663"/>
      <c r="Q56" s="2663"/>
      <c r="R56" s="2663"/>
      <c r="S56" s="2663"/>
      <c r="T56" s="2663"/>
      <c r="U56" s="2663"/>
      <c r="V56" s="2663"/>
      <c r="W56" s="2663"/>
      <c r="X56" s="2663"/>
      <c r="Y56" s="2663"/>
      <c r="Z56" s="2663"/>
      <c r="AA56" s="2663"/>
      <c r="AB56" s="313"/>
      <c r="AC56" s="1565"/>
      <c r="AD56" s="1514"/>
      <c r="AE56" s="1310"/>
      <c r="AF56" s="1310"/>
      <c r="AG56" s="1310"/>
      <c r="AH56" s="313"/>
      <c r="AI56" s="313"/>
      <c r="AJ56" s="313"/>
      <c r="AK56" s="313"/>
      <c r="AL56" s="313"/>
      <c r="AM56" s="314"/>
      <c r="AN56" s="314"/>
      <c r="AO56" s="314"/>
      <c r="AP56" s="314"/>
      <c r="AQ56" s="314"/>
      <c r="AR56" s="314"/>
      <c r="AS56" s="314"/>
      <c r="AT56" s="314"/>
      <c r="AU56" s="314"/>
      <c r="AV56" s="314"/>
      <c r="AW56" s="314"/>
      <c r="AX56" s="314"/>
      <c r="AY56" s="314"/>
      <c r="AZ56" s="314"/>
      <c r="BA56" s="314"/>
      <c r="BB56" s="314"/>
      <c r="BC56" s="314"/>
      <c r="BG56" s="314"/>
      <c r="BH56" s="314"/>
      <c r="BI56" s="314"/>
      <c r="BJ56" s="314"/>
      <c r="BK56" s="314"/>
      <c r="BL56" s="314"/>
      <c r="BM56" s="314"/>
    </row>
    <row r="57" spans="1:68" s="4" customFormat="1" ht="21" customHeight="1" thickBot="1">
      <c r="A57" s="2645" t="s">
        <v>9</v>
      </c>
      <c r="B57" s="2646"/>
      <c r="C57" s="2646"/>
      <c r="D57" s="2647"/>
      <c r="E57" s="2648" t="s">
        <v>292</v>
      </c>
      <c r="F57" s="2649"/>
      <c r="G57" s="2649"/>
      <c r="H57" s="2649"/>
      <c r="I57" s="2649"/>
      <c r="J57" s="2649"/>
      <c r="K57" s="2649"/>
      <c r="L57" s="2649"/>
      <c r="M57" s="2649"/>
      <c r="N57" s="2649"/>
      <c r="O57" s="2649"/>
      <c r="P57" s="2649"/>
      <c r="Q57" s="2649"/>
      <c r="R57" s="2649"/>
      <c r="S57" s="2649"/>
      <c r="T57" s="2649"/>
      <c r="U57" s="2649"/>
      <c r="V57" s="2649"/>
      <c r="W57" s="2649"/>
      <c r="X57" s="2649"/>
      <c r="Y57" s="2649"/>
      <c r="Z57" s="2649"/>
      <c r="AA57" s="2650"/>
      <c r="AB57" s="2651" t="s">
        <v>292</v>
      </c>
      <c r="AC57" s="2651"/>
      <c r="AD57" s="2651"/>
      <c r="AE57" s="2651"/>
      <c r="AF57" s="2651"/>
      <c r="AG57" s="2651"/>
      <c r="AH57" s="2651"/>
      <c r="AI57" s="2651"/>
      <c r="AJ57" s="2651"/>
      <c r="AK57" s="2651"/>
      <c r="AL57" s="2651"/>
      <c r="AM57" s="2651" t="s">
        <v>292</v>
      </c>
      <c r="AN57" s="2651"/>
      <c r="AO57" s="2651"/>
      <c r="AP57" s="2651"/>
      <c r="AQ57" s="2651"/>
      <c r="AR57" s="2651"/>
      <c r="AS57" s="2651"/>
      <c r="AT57" s="2651"/>
      <c r="AU57" s="2651"/>
      <c r="AV57" s="2651"/>
      <c r="AW57" s="2648" t="s">
        <v>292</v>
      </c>
      <c r="AX57" s="2649"/>
      <c r="AY57" s="2649"/>
      <c r="AZ57" s="2649"/>
      <c r="BA57" s="2649"/>
      <c r="BB57" s="2649"/>
      <c r="BC57" s="2649"/>
      <c r="BD57" s="2649"/>
      <c r="BE57" s="2649"/>
      <c r="BF57" s="2650"/>
      <c r="BG57" s="2648" t="s">
        <v>292</v>
      </c>
      <c r="BH57" s="2649"/>
      <c r="BI57" s="2649"/>
      <c r="BJ57" s="2649"/>
      <c r="BK57" s="2649"/>
      <c r="BL57" s="2649"/>
      <c r="BM57" s="2649"/>
      <c r="BN57" s="2649"/>
      <c r="BO57" s="2649"/>
      <c r="BP57" s="2650"/>
    </row>
    <row r="58" spans="1:65" s="13" customFormat="1" ht="9.95" customHeight="1" thickBot="1">
      <c r="A58" s="1763"/>
      <c r="B58" s="196"/>
      <c r="C58" s="1763"/>
      <c r="D58" s="1763"/>
      <c r="E58" s="1763"/>
      <c r="F58" s="197"/>
      <c r="G58" s="1763"/>
      <c r="H58" s="1763"/>
      <c r="I58" s="198"/>
      <c r="J58" s="1763"/>
      <c r="K58" s="1763"/>
      <c r="L58" s="1763"/>
      <c r="M58" s="1763"/>
      <c r="N58" s="1763"/>
      <c r="O58" s="1763"/>
      <c r="P58" s="1763"/>
      <c r="Q58" s="1763"/>
      <c r="R58" s="1763"/>
      <c r="S58" s="1763"/>
      <c r="T58" s="1763"/>
      <c r="U58" s="1763"/>
      <c r="V58" s="1763"/>
      <c r="W58" s="1763"/>
      <c r="X58" s="1763"/>
      <c r="Y58" s="200"/>
      <c r="Z58" s="1763"/>
      <c r="AA58" s="1763"/>
      <c r="AB58" s="394"/>
      <c r="AC58" s="1568"/>
      <c r="AD58" s="1507"/>
      <c r="AE58" s="1314"/>
      <c r="AF58" s="1314"/>
      <c r="AG58" s="1314"/>
      <c r="AH58" s="394"/>
      <c r="AI58" s="394"/>
      <c r="AJ58" s="394"/>
      <c r="AK58" s="394"/>
      <c r="AL58" s="394"/>
      <c r="AM58" s="395"/>
      <c r="AN58" s="395"/>
      <c r="AO58" s="395"/>
      <c r="AP58" s="395"/>
      <c r="AQ58" s="395"/>
      <c r="AR58" s="395"/>
      <c r="AS58" s="395"/>
      <c r="AT58" s="395"/>
      <c r="AU58" s="395"/>
      <c r="AV58" s="395"/>
      <c r="AW58" s="395"/>
      <c r="AX58" s="395"/>
      <c r="AY58" s="395"/>
      <c r="AZ58" s="395"/>
      <c r="BA58" s="395"/>
      <c r="BB58" s="395"/>
      <c r="BC58" s="395"/>
      <c r="BG58" s="395"/>
      <c r="BH58" s="395"/>
      <c r="BI58" s="395"/>
      <c r="BJ58" s="395"/>
      <c r="BK58" s="395"/>
      <c r="BL58" s="395"/>
      <c r="BM58" s="395"/>
    </row>
    <row r="59" spans="1:68" s="35" customFormat="1" ht="39" thickBot="1">
      <c r="A59" s="22" t="s">
        <v>11</v>
      </c>
      <c r="B59" s="396" t="s">
        <v>12</v>
      </c>
      <c r="C59" s="22" t="s">
        <v>13</v>
      </c>
      <c r="D59" s="397" t="s">
        <v>14</v>
      </c>
      <c r="E59" s="316" t="s">
        <v>15</v>
      </c>
      <c r="F59" s="317" t="s">
        <v>16</v>
      </c>
      <c r="G59" s="318" t="s">
        <v>17</v>
      </c>
      <c r="H59" s="318" t="s">
        <v>18</v>
      </c>
      <c r="I59" s="319" t="s">
        <v>19</v>
      </c>
      <c r="J59" s="318" t="s">
        <v>20</v>
      </c>
      <c r="K59" s="318" t="s">
        <v>21</v>
      </c>
      <c r="L59" s="318" t="s">
        <v>22</v>
      </c>
      <c r="M59" s="320" t="s">
        <v>23</v>
      </c>
      <c r="N59" s="320" t="s">
        <v>24</v>
      </c>
      <c r="O59" s="320" t="s">
        <v>25</v>
      </c>
      <c r="P59" s="320" t="s">
        <v>26</v>
      </c>
      <c r="Q59" s="320" t="s">
        <v>27</v>
      </c>
      <c r="R59" s="320" t="s">
        <v>28</v>
      </c>
      <c r="S59" s="320" t="s">
        <v>29</v>
      </c>
      <c r="T59" s="320" t="s">
        <v>30</v>
      </c>
      <c r="U59" s="320" t="s">
        <v>31</v>
      </c>
      <c r="V59" s="320" t="s">
        <v>32</v>
      </c>
      <c r="W59" s="320" t="s">
        <v>33</v>
      </c>
      <c r="X59" s="320" t="s">
        <v>34</v>
      </c>
      <c r="Y59" s="321" t="s">
        <v>35</v>
      </c>
      <c r="Z59" s="318" t="s">
        <v>36</v>
      </c>
      <c r="AA59" s="322" t="s">
        <v>37</v>
      </c>
      <c r="AB59" s="1322" t="s">
        <v>38</v>
      </c>
      <c r="AC59" s="1631" t="s">
        <v>1781</v>
      </c>
      <c r="AD59" s="1508" t="s">
        <v>39</v>
      </c>
      <c r="AE59" s="1614" t="s">
        <v>1821</v>
      </c>
      <c r="AF59" s="1614" t="s">
        <v>1822</v>
      </c>
      <c r="AG59" s="1613" t="s">
        <v>1783</v>
      </c>
      <c r="AH59" s="1322" t="s">
        <v>40</v>
      </c>
      <c r="AI59" s="1322" t="s">
        <v>41</v>
      </c>
      <c r="AJ59" s="1322" t="s">
        <v>42</v>
      </c>
      <c r="AK59" s="1322" t="s">
        <v>43</v>
      </c>
      <c r="AL59" s="1322" t="s">
        <v>44</v>
      </c>
      <c r="AM59" s="33" t="s">
        <v>45</v>
      </c>
      <c r="AN59" s="33" t="s">
        <v>1781</v>
      </c>
      <c r="AO59" s="33" t="s">
        <v>46</v>
      </c>
      <c r="AP59" s="33" t="s">
        <v>1821</v>
      </c>
      <c r="AQ59" s="33" t="s">
        <v>1822</v>
      </c>
      <c r="AR59" s="33" t="s">
        <v>1783</v>
      </c>
      <c r="AS59" s="33" t="s">
        <v>41</v>
      </c>
      <c r="AT59" s="33" t="s">
        <v>42</v>
      </c>
      <c r="AU59" s="33" t="s">
        <v>43</v>
      </c>
      <c r="AV59" s="33" t="s">
        <v>44</v>
      </c>
      <c r="AW59" s="1983" t="s">
        <v>47</v>
      </c>
      <c r="AX59" s="1983" t="s">
        <v>1781</v>
      </c>
      <c r="AY59" s="1983" t="s">
        <v>48</v>
      </c>
      <c r="AZ59" s="1983" t="s">
        <v>2453</v>
      </c>
      <c r="BA59" s="1983" t="s">
        <v>1822</v>
      </c>
      <c r="BB59" s="1983" t="s">
        <v>2698</v>
      </c>
      <c r="BC59" s="1983" t="s">
        <v>41</v>
      </c>
      <c r="BD59" s="1983" t="s">
        <v>42</v>
      </c>
      <c r="BE59" s="1983" t="s">
        <v>43</v>
      </c>
      <c r="BF59" s="1983" t="s">
        <v>44</v>
      </c>
      <c r="BG59" s="2079" t="s">
        <v>49</v>
      </c>
      <c r="BH59" s="2079" t="s">
        <v>1781</v>
      </c>
      <c r="BI59" s="2079" t="s">
        <v>50</v>
      </c>
      <c r="BJ59" s="2079" t="s">
        <v>2946</v>
      </c>
      <c r="BK59" s="2079" t="s">
        <v>1822</v>
      </c>
      <c r="BL59" s="2079" t="s">
        <v>2947</v>
      </c>
      <c r="BM59" s="2079" t="s">
        <v>41</v>
      </c>
      <c r="BN59" s="2079" t="s">
        <v>42</v>
      </c>
      <c r="BO59" s="2079" t="s">
        <v>43</v>
      </c>
      <c r="BP59" s="2479" t="s">
        <v>44</v>
      </c>
    </row>
    <row r="60" spans="1:68" s="49" customFormat="1" ht="39" customHeight="1" thickBot="1">
      <c r="A60" s="2658">
        <v>1</v>
      </c>
      <c r="B60" s="2658" t="s">
        <v>547</v>
      </c>
      <c r="C60" s="2656" t="s">
        <v>670</v>
      </c>
      <c r="D60" s="58" t="s">
        <v>826</v>
      </c>
      <c r="E60" s="340" t="s">
        <v>827</v>
      </c>
      <c r="F60" s="341">
        <v>1</v>
      </c>
      <c r="G60" s="337" t="s">
        <v>828</v>
      </c>
      <c r="H60" s="64" t="s">
        <v>2779</v>
      </c>
      <c r="I60" s="398">
        <v>0.08333333333333334</v>
      </c>
      <c r="J60" s="338" t="s">
        <v>829</v>
      </c>
      <c r="K60" s="117">
        <v>42005</v>
      </c>
      <c r="L60" s="117">
        <v>42063</v>
      </c>
      <c r="M60" s="57"/>
      <c r="N60" s="57">
        <v>1</v>
      </c>
      <c r="O60" s="57"/>
      <c r="P60" s="57"/>
      <c r="Q60" s="57"/>
      <c r="R60" s="57"/>
      <c r="S60" s="57"/>
      <c r="T60" s="57"/>
      <c r="U60" s="147"/>
      <c r="V60" s="147"/>
      <c r="W60" s="147"/>
      <c r="X60" s="147"/>
      <c r="Y60" s="121">
        <f>SUM(M60:X60)</f>
        <v>1</v>
      </c>
      <c r="Z60" s="393">
        <v>0</v>
      </c>
      <c r="AA60" s="611" t="s">
        <v>1090</v>
      </c>
      <c r="AB60" s="1378">
        <f aca="true" t="shared" si="19" ref="AB60:AB117">SUM(M60:N60)</f>
        <v>1</v>
      </c>
      <c r="AC60" s="1371">
        <f aca="true" t="shared" si="20" ref="AC60:AC117">IF(AB60=0,0%,100%)</f>
        <v>1</v>
      </c>
      <c r="AD60" s="1509">
        <v>1</v>
      </c>
      <c r="AE60" s="1311">
        <f aca="true" t="shared" si="21" ref="AE60:AE105">AD60/AB60</f>
        <v>1</v>
      </c>
      <c r="AF60" s="1311">
        <f>AD60/Y60</f>
        <v>1</v>
      </c>
      <c r="AG60" s="1311">
        <f>AF60</f>
        <v>1</v>
      </c>
      <c r="AH60" s="1371"/>
      <c r="AI60" s="1378"/>
      <c r="AJ60" s="1378"/>
      <c r="AK60" s="1378"/>
      <c r="AL60" s="1378"/>
      <c r="AM60" s="1692">
        <f>SUM(M60:P60)</f>
        <v>1</v>
      </c>
      <c r="AN60" s="1699">
        <f aca="true" t="shared" si="22" ref="AN60:AN117">IF(AM60=0,0%,100%)</f>
        <v>1</v>
      </c>
      <c r="AO60" s="1697">
        <v>0</v>
      </c>
      <c r="AP60" s="1699">
        <f>AO60/AM60</f>
        <v>0</v>
      </c>
      <c r="AQ60" s="1699">
        <f>AO60/Y60</f>
        <v>0</v>
      </c>
      <c r="AR60" s="1699">
        <f aca="true" t="shared" si="23" ref="AR60:AR117">IF(AN60&gt;0,AP60,"-")</f>
        <v>0</v>
      </c>
      <c r="AS60" s="1692"/>
      <c r="AT60" s="1692"/>
      <c r="AU60" s="1692"/>
      <c r="AV60" s="1692"/>
      <c r="AW60" s="2084">
        <f>SUM(M60:R60)</f>
        <v>1</v>
      </c>
      <c r="AX60" s="2085">
        <f aca="true" t="shared" si="24" ref="AX60:AX117">IF(AW60=0,0%,100%)</f>
        <v>1</v>
      </c>
      <c r="AY60" s="2084">
        <v>1</v>
      </c>
      <c r="AZ60" s="2085">
        <v>1</v>
      </c>
      <c r="BA60" s="2085">
        <v>1</v>
      </c>
      <c r="BB60" s="2085">
        <v>1</v>
      </c>
      <c r="BC60" s="1989"/>
      <c r="BD60" s="1989"/>
      <c r="BE60" s="101"/>
      <c r="BF60" s="101"/>
      <c r="BG60" s="2339">
        <f>SUM(M60:T60)</f>
        <v>1</v>
      </c>
      <c r="BH60" s="2373">
        <f aca="true" t="shared" si="25" ref="BH60:BH117">IF(BG60=0,0%,100%)</f>
        <v>1</v>
      </c>
      <c r="BI60" s="2339">
        <v>1</v>
      </c>
      <c r="BJ60" s="2373">
        <v>1</v>
      </c>
      <c r="BK60" s="2373">
        <v>1</v>
      </c>
      <c r="BL60" s="2373">
        <v>1</v>
      </c>
      <c r="BM60" s="2337"/>
      <c r="BN60" s="2337"/>
      <c r="BO60" s="2408"/>
      <c r="BP60" s="2408"/>
    </row>
    <row r="61" spans="1:68" s="49" customFormat="1" ht="39" customHeight="1" thickBot="1">
      <c r="A61" s="2655"/>
      <c r="B61" s="2655"/>
      <c r="C61" s="2657"/>
      <c r="D61" s="58" t="s">
        <v>830</v>
      </c>
      <c r="E61" s="340" t="s">
        <v>72</v>
      </c>
      <c r="F61" s="341">
        <v>1</v>
      </c>
      <c r="G61" s="337" t="s">
        <v>831</v>
      </c>
      <c r="H61" s="64" t="s">
        <v>2780</v>
      </c>
      <c r="I61" s="398">
        <v>0.08333333333333334</v>
      </c>
      <c r="J61" s="338" t="s">
        <v>832</v>
      </c>
      <c r="K61" s="117">
        <v>42005</v>
      </c>
      <c r="L61" s="117">
        <v>42024</v>
      </c>
      <c r="M61" s="137">
        <v>1</v>
      </c>
      <c r="N61" s="137"/>
      <c r="O61" s="137"/>
      <c r="P61" s="137"/>
      <c r="Q61" s="137"/>
      <c r="R61" s="137"/>
      <c r="S61" s="137"/>
      <c r="T61" s="137"/>
      <c r="U61" s="138"/>
      <c r="V61" s="138"/>
      <c r="W61" s="138"/>
      <c r="X61" s="138"/>
      <c r="Y61" s="121">
        <f>SUM(M61:X61)</f>
        <v>1</v>
      </c>
      <c r="Z61" s="393">
        <v>0</v>
      </c>
      <c r="AA61" s="611" t="s">
        <v>1090</v>
      </c>
      <c r="AB61" s="1378">
        <f t="shared" si="19"/>
        <v>1</v>
      </c>
      <c r="AC61" s="1371">
        <f t="shared" si="20"/>
        <v>1</v>
      </c>
      <c r="AD61" s="1509">
        <v>1</v>
      </c>
      <c r="AE61" s="1311">
        <f t="shared" si="21"/>
        <v>1</v>
      </c>
      <c r="AF61" s="1311">
        <f aca="true" t="shared" si="26" ref="AF61:AF116">AD61/Y61</f>
        <v>1</v>
      </c>
      <c r="AG61" s="1311">
        <f aca="true" t="shared" si="27" ref="AG61:AG71">AF61</f>
        <v>1</v>
      </c>
      <c r="AH61" s="1371"/>
      <c r="AI61" s="1378"/>
      <c r="AJ61" s="1378"/>
      <c r="AK61" s="1378"/>
      <c r="AL61" s="1378"/>
      <c r="AM61" s="1692">
        <f aca="true" t="shared" si="28" ref="AM61:AM71">SUM(M61:P61)</f>
        <v>1</v>
      </c>
      <c r="AN61" s="1699">
        <f t="shared" si="22"/>
        <v>1</v>
      </c>
      <c r="AO61" s="1697">
        <v>1</v>
      </c>
      <c r="AP61" s="1699">
        <f aca="true" t="shared" si="29" ref="AP61:AP71">AO61/AM61</f>
        <v>1</v>
      </c>
      <c r="AQ61" s="1699">
        <f aca="true" t="shared" si="30" ref="AQ61:AQ71">AO61/Y61</f>
        <v>1</v>
      </c>
      <c r="AR61" s="1699">
        <f t="shared" si="23"/>
        <v>1</v>
      </c>
      <c r="AS61" s="1692"/>
      <c r="AT61" s="1692"/>
      <c r="AU61" s="1692"/>
      <c r="AV61" s="1692"/>
      <c r="AW61" s="2084">
        <f aca="true" t="shared" si="31" ref="AW61:AW71">SUM(M61:R61)</f>
        <v>1</v>
      </c>
      <c r="AX61" s="2085">
        <f t="shared" si="24"/>
        <v>1</v>
      </c>
      <c r="AY61" s="2084">
        <v>1</v>
      </c>
      <c r="AZ61" s="2085">
        <v>1</v>
      </c>
      <c r="BA61" s="2085">
        <v>1</v>
      </c>
      <c r="BB61" s="2085">
        <v>1</v>
      </c>
      <c r="BC61" s="1989"/>
      <c r="BD61" s="1989"/>
      <c r="BE61" s="101"/>
      <c r="BF61" s="101"/>
      <c r="BG61" s="2339">
        <f aca="true" t="shared" si="32" ref="BG61:BG71">SUM(M61:T61)</f>
        <v>1</v>
      </c>
      <c r="BH61" s="2373">
        <f t="shared" si="25"/>
        <v>1</v>
      </c>
      <c r="BI61" s="2339">
        <v>1</v>
      </c>
      <c r="BJ61" s="2373">
        <v>1</v>
      </c>
      <c r="BK61" s="2373"/>
      <c r="BL61" s="2373">
        <v>1</v>
      </c>
      <c r="BM61" s="2337"/>
      <c r="BN61" s="2337"/>
      <c r="BO61" s="2408"/>
      <c r="BP61" s="2408"/>
    </row>
    <row r="62" spans="1:68" s="49" customFormat="1" ht="39" customHeight="1" thickBot="1">
      <c r="A62" s="2655"/>
      <c r="B62" s="2655"/>
      <c r="C62" s="2657"/>
      <c r="D62" s="58" t="s">
        <v>833</v>
      </c>
      <c r="E62" s="340" t="s">
        <v>802</v>
      </c>
      <c r="F62" s="341">
        <v>44</v>
      </c>
      <c r="G62" s="337" t="s">
        <v>834</v>
      </c>
      <c r="H62" s="64" t="s">
        <v>2780</v>
      </c>
      <c r="I62" s="398">
        <v>0.08333333333333334</v>
      </c>
      <c r="J62" s="338" t="s">
        <v>835</v>
      </c>
      <c r="K62" s="117">
        <v>42036</v>
      </c>
      <c r="L62" s="117">
        <v>42339</v>
      </c>
      <c r="M62" s="57"/>
      <c r="N62" s="57">
        <v>4</v>
      </c>
      <c r="O62" s="57">
        <v>4</v>
      </c>
      <c r="P62" s="57">
        <v>4</v>
      </c>
      <c r="Q62" s="57">
        <v>4</v>
      </c>
      <c r="R62" s="57">
        <v>4</v>
      </c>
      <c r="S62" s="57">
        <v>4</v>
      </c>
      <c r="T62" s="57">
        <v>4</v>
      </c>
      <c r="U62" s="57">
        <v>4</v>
      </c>
      <c r="V62" s="57">
        <v>4</v>
      </c>
      <c r="W62" s="57">
        <v>4</v>
      </c>
      <c r="X62" s="57">
        <v>4</v>
      </c>
      <c r="Y62" s="121">
        <f>SUM(M62:X62)</f>
        <v>44</v>
      </c>
      <c r="Z62" s="393">
        <v>0</v>
      </c>
      <c r="AA62" s="611" t="s">
        <v>1090</v>
      </c>
      <c r="AB62" s="1378">
        <f t="shared" si="19"/>
        <v>4</v>
      </c>
      <c r="AC62" s="1371">
        <f t="shared" si="20"/>
        <v>1</v>
      </c>
      <c r="AD62" s="1509">
        <v>4</v>
      </c>
      <c r="AE62" s="1311">
        <f t="shared" si="21"/>
        <v>1</v>
      </c>
      <c r="AF62" s="1311">
        <f t="shared" si="26"/>
        <v>0.09090909090909091</v>
      </c>
      <c r="AG62" s="1311">
        <f t="shared" si="27"/>
        <v>0.09090909090909091</v>
      </c>
      <c r="AH62" s="1371"/>
      <c r="AI62" s="1378"/>
      <c r="AJ62" s="1378"/>
      <c r="AK62" s="1378"/>
      <c r="AL62" s="1378"/>
      <c r="AM62" s="1692">
        <f t="shared" si="28"/>
        <v>12</v>
      </c>
      <c r="AN62" s="1699">
        <f t="shared" si="22"/>
        <v>1</v>
      </c>
      <c r="AO62" s="1697">
        <v>8</v>
      </c>
      <c r="AP62" s="1699">
        <f t="shared" si="29"/>
        <v>0.6666666666666666</v>
      </c>
      <c r="AQ62" s="1699">
        <f t="shared" si="30"/>
        <v>0.18181818181818182</v>
      </c>
      <c r="AR62" s="1699">
        <f t="shared" si="23"/>
        <v>0.6666666666666666</v>
      </c>
      <c r="AS62" s="1692"/>
      <c r="AT62" s="1692"/>
      <c r="AU62" s="1692"/>
      <c r="AV62" s="1692"/>
      <c r="AW62" s="2084">
        <f t="shared" si="31"/>
        <v>20</v>
      </c>
      <c r="AX62" s="2085">
        <f t="shared" si="24"/>
        <v>1</v>
      </c>
      <c r="AY62" s="2084">
        <v>20</v>
      </c>
      <c r="AZ62" s="2085">
        <v>1</v>
      </c>
      <c r="BA62" s="2085">
        <f>AX62/X62</f>
        <v>0.25</v>
      </c>
      <c r="BB62" s="2085">
        <f>AY62/Y62</f>
        <v>0.45454545454545453</v>
      </c>
      <c r="BC62" s="1989"/>
      <c r="BD62" s="1989"/>
      <c r="BE62" s="101"/>
      <c r="BF62" s="101"/>
      <c r="BG62" s="2339">
        <f t="shared" si="32"/>
        <v>28</v>
      </c>
      <c r="BH62" s="2373">
        <f t="shared" si="25"/>
        <v>1</v>
      </c>
      <c r="BI62" s="2339">
        <v>28</v>
      </c>
      <c r="BJ62" s="2373">
        <v>1</v>
      </c>
      <c r="BK62" s="2373"/>
      <c r="BL62" s="2373">
        <f>BI62/Y62</f>
        <v>0.6363636363636364</v>
      </c>
      <c r="BM62" s="2337"/>
      <c r="BN62" s="2337"/>
      <c r="BO62" s="2408"/>
      <c r="BP62" s="2408"/>
    </row>
    <row r="63" spans="1:68" s="49" customFormat="1" ht="39" customHeight="1" thickBot="1">
      <c r="A63" s="2655"/>
      <c r="B63" s="2655"/>
      <c r="C63" s="2657"/>
      <c r="D63" s="58" t="s">
        <v>836</v>
      </c>
      <c r="E63" s="340" t="s">
        <v>802</v>
      </c>
      <c r="F63" s="341">
        <v>11</v>
      </c>
      <c r="G63" s="337" t="s">
        <v>837</v>
      </c>
      <c r="H63" s="64" t="s">
        <v>2780</v>
      </c>
      <c r="I63" s="398">
        <v>0.08333333333333334</v>
      </c>
      <c r="J63" s="338" t="s">
        <v>838</v>
      </c>
      <c r="K63" s="117">
        <v>42005</v>
      </c>
      <c r="L63" s="117">
        <v>42339</v>
      </c>
      <c r="M63" s="2092"/>
      <c r="N63" s="2092">
        <v>1</v>
      </c>
      <c r="O63" s="2092">
        <v>1</v>
      </c>
      <c r="P63" s="2092">
        <v>1</v>
      </c>
      <c r="Q63" s="2092">
        <v>1</v>
      </c>
      <c r="R63" s="2092">
        <v>1</v>
      </c>
      <c r="S63" s="2092">
        <v>1</v>
      </c>
      <c r="T63" s="2092">
        <v>1</v>
      </c>
      <c r="U63" s="2093">
        <v>1</v>
      </c>
      <c r="V63" s="2093">
        <v>1</v>
      </c>
      <c r="W63" s="2093">
        <v>1</v>
      </c>
      <c r="X63" s="2093">
        <v>1</v>
      </c>
      <c r="Y63" s="121">
        <f>SUM(M63:X63)</f>
        <v>11</v>
      </c>
      <c r="Z63" s="393">
        <v>0</v>
      </c>
      <c r="AA63" s="611" t="s">
        <v>1090</v>
      </c>
      <c r="AB63" s="1378">
        <f t="shared" si="19"/>
        <v>1</v>
      </c>
      <c r="AC63" s="1371">
        <f t="shared" si="20"/>
        <v>1</v>
      </c>
      <c r="AD63" s="1509">
        <v>0</v>
      </c>
      <c r="AE63" s="1311" t="s">
        <v>1090</v>
      </c>
      <c r="AF63" s="1311" t="s">
        <v>1090</v>
      </c>
      <c r="AG63" s="1311" t="str">
        <f t="shared" si="27"/>
        <v>-</v>
      </c>
      <c r="AH63" s="1371"/>
      <c r="AI63" s="1378"/>
      <c r="AJ63" s="1378"/>
      <c r="AK63" s="1378"/>
      <c r="AL63" s="1378"/>
      <c r="AM63" s="1692">
        <f t="shared" si="28"/>
        <v>3</v>
      </c>
      <c r="AN63" s="1699">
        <f t="shared" si="22"/>
        <v>1</v>
      </c>
      <c r="AO63" s="1697">
        <v>0</v>
      </c>
      <c r="AP63" s="1699" t="s">
        <v>1090</v>
      </c>
      <c r="AQ63" s="1699" t="s">
        <v>1090</v>
      </c>
      <c r="AR63" s="1699" t="str">
        <f t="shared" si="23"/>
        <v>-</v>
      </c>
      <c r="AS63" s="1692"/>
      <c r="AT63" s="1692"/>
      <c r="AU63" s="1692"/>
      <c r="AV63" s="1692"/>
      <c r="AW63" s="2084">
        <f t="shared" si="31"/>
        <v>5</v>
      </c>
      <c r="AX63" s="2085">
        <f t="shared" si="24"/>
        <v>1</v>
      </c>
      <c r="AY63" s="2084">
        <v>5</v>
      </c>
      <c r="AZ63" s="2085">
        <v>1</v>
      </c>
      <c r="BA63" s="2085">
        <f>AX63/X63</f>
        <v>1</v>
      </c>
      <c r="BB63" s="2085">
        <f>AY63/Y63</f>
        <v>0.45454545454545453</v>
      </c>
      <c r="BC63" s="1989"/>
      <c r="BD63" s="1989"/>
      <c r="BE63" s="101"/>
      <c r="BF63" s="101"/>
      <c r="BG63" s="2339">
        <f t="shared" si="32"/>
        <v>7</v>
      </c>
      <c r="BH63" s="2373">
        <f t="shared" si="25"/>
        <v>1</v>
      </c>
      <c r="BI63" s="2339">
        <v>7</v>
      </c>
      <c r="BJ63" s="2373">
        <v>1</v>
      </c>
      <c r="BK63" s="2373"/>
      <c r="BL63" s="2373">
        <f>BI63/Y63</f>
        <v>0.6363636363636364</v>
      </c>
      <c r="BM63" s="2337"/>
      <c r="BN63" s="2337"/>
      <c r="BO63" s="2408"/>
      <c r="BP63" s="2408"/>
    </row>
    <row r="64" spans="1:68" s="49" customFormat="1" ht="39" customHeight="1" thickBot="1">
      <c r="A64" s="2655"/>
      <c r="B64" s="2655"/>
      <c r="C64" s="2657"/>
      <c r="D64" s="58" t="s">
        <v>839</v>
      </c>
      <c r="E64" s="2089" t="s">
        <v>2783</v>
      </c>
      <c r="F64" s="2095">
        <v>1</v>
      </c>
      <c r="G64" s="2096" t="s">
        <v>2784</v>
      </c>
      <c r="H64" s="64" t="s">
        <v>2779</v>
      </c>
      <c r="I64" s="398">
        <v>0.08333333333333334</v>
      </c>
      <c r="J64" s="338" t="s">
        <v>840</v>
      </c>
      <c r="K64" s="117">
        <v>42005</v>
      </c>
      <c r="L64" s="117">
        <v>42369</v>
      </c>
      <c r="M64" s="2097">
        <v>1</v>
      </c>
      <c r="N64" s="2097">
        <v>1</v>
      </c>
      <c r="O64" s="2097">
        <v>1</v>
      </c>
      <c r="P64" s="2097">
        <v>1</v>
      </c>
      <c r="Q64" s="2097">
        <v>1</v>
      </c>
      <c r="R64" s="2097">
        <v>1</v>
      </c>
      <c r="S64" s="2097">
        <v>1</v>
      </c>
      <c r="T64" s="2097">
        <v>1</v>
      </c>
      <c r="U64" s="2097">
        <v>1</v>
      </c>
      <c r="V64" s="2097">
        <v>1</v>
      </c>
      <c r="W64" s="2097">
        <v>1</v>
      </c>
      <c r="X64" s="2097">
        <v>1</v>
      </c>
      <c r="Y64" s="2025">
        <v>1</v>
      </c>
      <c r="Z64" s="393">
        <v>0</v>
      </c>
      <c r="AA64" s="611" t="s">
        <v>1090</v>
      </c>
      <c r="AB64" s="1378" t="s">
        <v>100</v>
      </c>
      <c r="AC64" s="1371">
        <f t="shared" si="20"/>
        <v>1</v>
      </c>
      <c r="AD64" s="1509">
        <v>0</v>
      </c>
      <c r="AE64" s="1311" t="s">
        <v>1090</v>
      </c>
      <c r="AF64" s="1311" t="s">
        <v>1090</v>
      </c>
      <c r="AG64" s="1311">
        <v>0</v>
      </c>
      <c r="AH64" s="1371"/>
      <c r="AI64" s="1378"/>
      <c r="AJ64" s="1378"/>
      <c r="AK64" s="1378"/>
      <c r="AL64" s="1378"/>
      <c r="AM64" s="1692">
        <f t="shared" si="28"/>
        <v>4</v>
      </c>
      <c r="AN64" s="1699">
        <f t="shared" si="22"/>
        <v>1</v>
      </c>
      <c r="AO64" s="1697">
        <v>0</v>
      </c>
      <c r="AP64" s="1699" t="s">
        <v>1090</v>
      </c>
      <c r="AQ64" s="1699" t="s">
        <v>1090</v>
      </c>
      <c r="AR64" s="1699" t="str">
        <f t="shared" si="23"/>
        <v>-</v>
      </c>
      <c r="AS64" s="1692"/>
      <c r="AT64" s="1692"/>
      <c r="AU64" s="1692"/>
      <c r="AV64" s="1692"/>
      <c r="AW64" s="2084">
        <f t="shared" si="31"/>
        <v>6</v>
      </c>
      <c r="AX64" s="2085">
        <f t="shared" si="24"/>
        <v>1</v>
      </c>
      <c r="AY64" s="2175">
        <v>1</v>
      </c>
      <c r="AZ64" s="2085">
        <v>1</v>
      </c>
      <c r="BA64" s="2085" t="s">
        <v>1090</v>
      </c>
      <c r="BB64" s="2085" t="s">
        <v>1090</v>
      </c>
      <c r="BC64" s="1989"/>
      <c r="BD64" s="1989"/>
      <c r="BE64" s="101"/>
      <c r="BF64" s="101"/>
      <c r="BG64" s="2339">
        <f t="shared" si="32"/>
        <v>8</v>
      </c>
      <c r="BH64" s="2373">
        <f t="shared" si="25"/>
        <v>1</v>
      </c>
      <c r="BI64" s="2382">
        <v>1</v>
      </c>
      <c r="BJ64" s="2373">
        <v>1</v>
      </c>
      <c r="BK64" s="2373"/>
      <c r="BL64" s="2373" t="s">
        <v>1090</v>
      </c>
      <c r="BM64" s="2337"/>
      <c r="BN64" s="2337"/>
      <c r="BO64" s="2408"/>
      <c r="BP64" s="2408"/>
    </row>
    <row r="65" spans="1:68" s="49" customFormat="1" ht="39" customHeight="1" thickBot="1">
      <c r="A65" s="2655"/>
      <c r="B65" s="2655"/>
      <c r="C65" s="2657"/>
      <c r="D65" s="58" t="s">
        <v>841</v>
      </c>
      <c r="E65" s="340" t="s">
        <v>802</v>
      </c>
      <c r="F65" s="2090">
        <v>4</v>
      </c>
      <c r="G65" s="337" t="s">
        <v>842</v>
      </c>
      <c r="H65" s="64" t="s">
        <v>2781</v>
      </c>
      <c r="I65" s="398">
        <v>0.08333333333333334</v>
      </c>
      <c r="J65" s="338" t="s">
        <v>843</v>
      </c>
      <c r="K65" s="117">
        <v>42036</v>
      </c>
      <c r="L65" s="117">
        <v>42369</v>
      </c>
      <c r="M65" s="57"/>
      <c r="N65" s="2092"/>
      <c r="O65" s="2092">
        <v>1</v>
      </c>
      <c r="P65" s="2092"/>
      <c r="Q65" s="2092"/>
      <c r="R65" s="2092">
        <v>1</v>
      </c>
      <c r="S65" s="2092"/>
      <c r="T65" s="2092"/>
      <c r="U65" s="2092">
        <v>1</v>
      </c>
      <c r="V65" s="2092"/>
      <c r="W65" s="2092"/>
      <c r="X65" s="2092">
        <v>1</v>
      </c>
      <c r="Y65" s="2098">
        <f>SUM(M65:X65)</f>
        <v>4</v>
      </c>
      <c r="Z65" s="393">
        <v>0</v>
      </c>
      <c r="AA65" s="611" t="s">
        <v>1090</v>
      </c>
      <c r="AB65" s="1378">
        <f t="shared" si="19"/>
        <v>0</v>
      </c>
      <c r="AC65" s="1371">
        <f t="shared" si="20"/>
        <v>0</v>
      </c>
      <c r="AD65" s="1509">
        <v>1</v>
      </c>
      <c r="AE65" s="1311" t="e">
        <f t="shared" si="21"/>
        <v>#DIV/0!</v>
      </c>
      <c r="AF65" s="1311">
        <f t="shared" si="26"/>
        <v>0.25</v>
      </c>
      <c r="AG65" s="1311">
        <f t="shared" si="27"/>
        <v>0.25</v>
      </c>
      <c r="AH65" s="1371"/>
      <c r="AI65" s="1378"/>
      <c r="AJ65" s="1378"/>
      <c r="AK65" s="1378" t="s">
        <v>1823</v>
      </c>
      <c r="AL65" s="1378"/>
      <c r="AM65" s="1692">
        <f t="shared" si="28"/>
        <v>1</v>
      </c>
      <c r="AN65" s="1699">
        <f t="shared" si="22"/>
        <v>1</v>
      </c>
      <c r="AO65" s="1697">
        <v>2</v>
      </c>
      <c r="AP65" s="1699">
        <f t="shared" si="29"/>
        <v>2</v>
      </c>
      <c r="AQ65" s="1699">
        <f t="shared" si="30"/>
        <v>0.5</v>
      </c>
      <c r="AR65" s="1699">
        <v>1</v>
      </c>
      <c r="AS65" s="1692"/>
      <c r="AT65" s="1692"/>
      <c r="AU65" s="1692"/>
      <c r="AV65" s="1692"/>
      <c r="AW65" s="2084">
        <f t="shared" si="31"/>
        <v>2</v>
      </c>
      <c r="AX65" s="2085">
        <f t="shared" si="24"/>
        <v>1</v>
      </c>
      <c r="AY65" s="2084">
        <v>2</v>
      </c>
      <c r="AZ65" s="2085">
        <v>1</v>
      </c>
      <c r="BA65" s="2085">
        <v>0.5</v>
      </c>
      <c r="BB65" s="2085">
        <v>0.5</v>
      </c>
      <c r="BC65" s="1989"/>
      <c r="BD65" s="1989"/>
      <c r="BE65" s="101"/>
      <c r="BF65" s="101"/>
      <c r="BG65" s="2339">
        <f t="shared" si="32"/>
        <v>2</v>
      </c>
      <c r="BH65" s="2373">
        <f t="shared" si="25"/>
        <v>1</v>
      </c>
      <c r="BI65" s="2339">
        <v>2</v>
      </c>
      <c r="BJ65" s="2373">
        <v>1</v>
      </c>
      <c r="BK65" s="2373"/>
      <c r="BL65" s="2373">
        <v>0.5</v>
      </c>
      <c r="BM65" s="2337"/>
      <c r="BN65" s="2337"/>
      <c r="BO65" s="2408"/>
      <c r="BP65" s="2408"/>
    </row>
    <row r="66" spans="1:68" s="49" customFormat="1" ht="39" customHeight="1" thickBot="1">
      <c r="A66" s="2655"/>
      <c r="B66" s="2655"/>
      <c r="C66" s="2657"/>
      <c r="D66" s="58" t="s">
        <v>844</v>
      </c>
      <c r="E66" s="340" t="s">
        <v>72</v>
      </c>
      <c r="F66" s="341">
        <v>1</v>
      </c>
      <c r="G66" s="337" t="s">
        <v>73</v>
      </c>
      <c r="H66" s="2099" t="s">
        <v>2780</v>
      </c>
      <c r="I66" s="398">
        <v>0.08333333333333334</v>
      </c>
      <c r="J66" s="338" t="s">
        <v>846</v>
      </c>
      <c r="K66" s="117">
        <v>42005</v>
      </c>
      <c r="L66" s="117">
        <v>42024</v>
      </c>
      <c r="M66" s="57"/>
      <c r="N66" s="57"/>
      <c r="O66" s="57"/>
      <c r="P66" s="57"/>
      <c r="Q66" s="57"/>
      <c r="R66" s="57"/>
      <c r="S66" s="57"/>
      <c r="T66" s="57"/>
      <c r="U66" s="147"/>
      <c r="V66" s="147"/>
      <c r="W66" s="147"/>
      <c r="X66" s="147">
        <v>1</v>
      </c>
      <c r="Y66" s="121">
        <f>SUM(M66:X66)</f>
        <v>1</v>
      </c>
      <c r="Z66" s="393">
        <v>0</v>
      </c>
      <c r="AA66" s="611" t="s">
        <v>1090</v>
      </c>
      <c r="AB66" s="1378">
        <f t="shared" si="19"/>
        <v>0</v>
      </c>
      <c r="AC66" s="1371">
        <f t="shared" si="20"/>
        <v>0</v>
      </c>
      <c r="AD66" s="1509">
        <v>0</v>
      </c>
      <c r="AE66" s="1311" t="s">
        <v>1090</v>
      </c>
      <c r="AF66" s="1311">
        <f t="shared" si="26"/>
        <v>0</v>
      </c>
      <c r="AG66" s="1311">
        <f t="shared" si="27"/>
        <v>0</v>
      </c>
      <c r="AH66" s="1371"/>
      <c r="AI66" s="1378"/>
      <c r="AJ66" s="1378"/>
      <c r="AK66" s="1378"/>
      <c r="AL66" s="1378"/>
      <c r="AM66" s="1692">
        <f t="shared" si="28"/>
        <v>0</v>
      </c>
      <c r="AN66" s="1699">
        <f t="shared" si="22"/>
        <v>0</v>
      </c>
      <c r="AO66" s="1697">
        <v>0</v>
      </c>
      <c r="AP66" s="1699" t="s">
        <v>1090</v>
      </c>
      <c r="AQ66" s="1699">
        <f t="shared" si="30"/>
        <v>0</v>
      </c>
      <c r="AR66" s="1699">
        <v>0</v>
      </c>
      <c r="AS66" s="1692"/>
      <c r="AT66" s="1692"/>
      <c r="AU66" s="1692"/>
      <c r="AV66" s="1692"/>
      <c r="AW66" s="2084">
        <f t="shared" si="31"/>
        <v>0</v>
      </c>
      <c r="AX66" s="2085">
        <f t="shared" si="24"/>
        <v>0</v>
      </c>
      <c r="AY66" s="2084">
        <v>0</v>
      </c>
      <c r="AZ66" s="2085" t="s">
        <v>1090</v>
      </c>
      <c r="BA66" s="2085">
        <v>0</v>
      </c>
      <c r="BB66" s="2085">
        <v>0</v>
      </c>
      <c r="BC66" s="1989"/>
      <c r="BD66" s="1989"/>
      <c r="BE66" s="101"/>
      <c r="BF66" s="101"/>
      <c r="BG66" s="2339">
        <f t="shared" si="32"/>
        <v>0</v>
      </c>
      <c r="BH66" s="2373">
        <f t="shared" si="25"/>
        <v>0</v>
      </c>
      <c r="BI66" s="2339" t="s">
        <v>1090</v>
      </c>
      <c r="BJ66" s="2373" t="s">
        <v>1090</v>
      </c>
      <c r="BK66" s="2373"/>
      <c r="BL66" s="2373">
        <v>0</v>
      </c>
      <c r="BM66" s="2337"/>
      <c r="BN66" s="2337"/>
      <c r="BO66" s="2408"/>
      <c r="BP66" s="2408"/>
    </row>
    <row r="67" spans="1:68" s="49" customFormat="1" ht="39" customHeight="1" thickBot="1">
      <c r="A67" s="2655"/>
      <c r="B67" s="2655"/>
      <c r="C67" s="2664"/>
      <c r="D67" s="58" t="s">
        <v>847</v>
      </c>
      <c r="E67" s="340" t="s">
        <v>848</v>
      </c>
      <c r="F67" s="2095">
        <v>1</v>
      </c>
      <c r="G67" s="2096" t="s">
        <v>2785</v>
      </c>
      <c r="H67" s="2099" t="s">
        <v>2779</v>
      </c>
      <c r="I67" s="398">
        <v>0.08333333333333334</v>
      </c>
      <c r="J67" s="338" t="s">
        <v>849</v>
      </c>
      <c r="K67" s="117">
        <v>42036</v>
      </c>
      <c r="L67" s="117">
        <v>42369</v>
      </c>
      <c r="M67" s="137"/>
      <c r="N67" s="137"/>
      <c r="O67" s="137"/>
      <c r="P67" s="137"/>
      <c r="Q67" s="137"/>
      <c r="R67" s="137"/>
      <c r="S67" s="137"/>
      <c r="T67" s="137"/>
      <c r="U67" s="138"/>
      <c r="V67" s="138"/>
      <c r="W67" s="138"/>
      <c r="X67" s="138"/>
      <c r="Y67" s="121">
        <f>SUM(M67:X67)</f>
        <v>0</v>
      </c>
      <c r="Z67" s="393">
        <v>0</v>
      </c>
      <c r="AA67" s="611" t="s">
        <v>1090</v>
      </c>
      <c r="AB67" s="1378">
        <f t="shared" si="19"/>
        <v>0</v>
      </c>
      <c r="AC67" s="1371">
        <f t="shared" si="20"/>
        <v>0</v>
      </c>
      <c r="AD67" s="1509">
        <v>0</v>
      </c>
      <c r="AE67" s="1311" t="s">
        <v>1090</v>
      </c>
      <c r="AF67" s="1311" t="s">
        <v>1090</v>
      </c>
      <c r="AG67" s="1311" t="str">
        <f t="shared" si="27"/>
        <v>-</v>
      </c>
      <c r="AH67" s="1371"/>
      <c r="AI67" s="1378"/>
      <c r="AJ67" s="1378"/>
      <c r="AK67" s="1378"/>
      <c r="AL67" s="1378"/>
      <c r="AM67" s="1692">
        <f t="shared" si="28"/>
        <v>0</v>
      </c>
      <c r="AN67" s="1699">
        <f t="shared" si="22"/>
        <v>0</v>
      </c>
      <c r="AO67" s="1697">
        <v>0</v>
      </c>
      <c r="AP67" s="1699" t="s">
        <v>1090</v>
      </c>
      <c r="AQ67" s="1699" t="s">
        <v>1090</v>
      </c>
      <c r="AR67" s="1699" t="str">
        <f t="shared" si="23"/>
        <v>-</v>
      </c>
      <c r="AS67" s="1692"/>
      <c r="AT67" s="1692"/>
      <c r="AU67" s="1692"/>
      <c r="AV67" s="1692"/>
      <c r="AW67" s="2084">
        <f t="shared" si="31"/>
        <v>0</v>
      </c>
      <c r="AX67" s="2085">
        <f t="shared" si="24"/>
        <v>0</v>
      </c>
      <c r="AY67" s="2084">
        <v>0</v>
      </c>
      <c r="AZ67" s="2085" t="s">
        <v>1090</v>
      </c>
      <c r="BA67" s="2085" t="s">
        <v>1090</v>
      </c>
      <c r="BB67" s="2085" t="s">
        <v>1090</v>
      </c>
      <c r="BC67" s="1989"/>
      <c r="BD67" s="1989"/>
      <c r="BE67" s="101"/>
      <c r="BF67" s="101"/>
      <c r="BG67" s="2339">
        <f t="shared" si="32"/>
        <v>0</v>
      </c>
      <c r="BH67" s="2373">
        <f t="shared" si="25"/>
        <v>0</v>
      </c>
      <c r="BI67" s="2382">
        <v>1</v>
      </c>
      <c r="BJ67" s="2373">
        <v>1</v>
      </c>
      <c r="BK67" s="2373"/>
      <c r="BL67" s="2373" t="s">
        <v>1090</v>
      </c>
      <c r="BM67" s="2337"/>
      <c r="BN67" s="2337"/>
      <c r="BO67" s="2408"/>
      <c r="BP67" s="2408"/>
    </row>
    <row r="68" spans="1:68" s="49" customFormat="1" ht="39" customHeight="1" thickBot="1">
      <c r="A68" s="2655"/>
      <c r="B68" s="2655"/>
      <c r="C68" s="2656" t="s">
        <v>70</v>
      </c>
      <c r="D68" s="2100" t="s">
        <v>2786</v>
      </c>
      <c r="E68" s="347" t="s">
        <v>72</v>
      </c>
      <c r="F68" s="348">
        <v>1</v>
      </c>
      <c r="G68" s="337" t="s">
        <v>73</v>
      </c>
      <c r="H68" s="2101" t="s">
        <v>2787</v>
      </c>
      <c r="I68" s="398">
        <v>0.08333333333333334</v>
      </c>
      <c r="J68" s="350" t="s">
        <v>850</v>
      </c>
      <c r="K68" s="117">
        <v>42339</v>
      </c>
      <c r="L68" s="117">
        <v>42369</v>
      </c>
      <c r="M68" s="2092">
        <v>1</v>
      </c>
      <c r="N68" s="2092">
        <v>1</v>
      </c>
      <c r="O68" s="2092">
        <v>1</v>
      </c>
      <c r="P68" s="2092">
        <v>1</v>
      </c>
      <c r="Q68" s="2092">
        <v>1</v>
      </c>
      <c r="R68" s="2092">
        <v>1</v>
      </c>
      <c r="S68" s="2092">
        <v>1</v>
      </c>
      <c r="T68" s="2092">
        <v>1</v>
      </c>
      <c r="U68" s="2093">
        <v>1</v>
      </c>
      <c r="V68" s="2093">
        <v>1</v>
      </c>
      <c r="W68" s="2093">
        <v>1</v>
      </c>
      <c r="X68" s="2093">
        <v>1</v>
      </c>
      <c r="Y68" s="121">
        <f>SUM(M68:X68)</f>
        <v>12</v>
      </c>
      <c r="Z68" s="393">
        <v>0</v>
      </c>
      <c r="AA68" s="611" t="s">
        <v>1090</v>
      </c>
      <c r="AB68" s="1378">
        <f t="shared" si="19"/>
        <v>2</v>
      </c>
      <c r="AC68" s="1371">
        <f t="shared" si="20"/>
        <v>1</v>
      </c>
      <c r="AD68" s="1509">
        <v>0</v>
      </c>
      <c r="AE68" s="1311" t="s">
        <v>1090</v>
      </c>
      <c r="AF68" s="1311">
        <f t="shared" si="26"/>
        <v>0</v>
      </c>
      <c r="AG68" s="1311">
        <f t="shared" si="27"/>
        <v>0</v>
      </c>
      <c r="AH68" s="1328"/>
      <c r="AI68" s="1378"/>
      <c r="AJ68" s="1378"/>
      <c r="AK68" s="1378"/>
      <c r="AL68" s="1378"/>
      <c r="AM68" s="1692">
        <f t="shared" si="28"/>
        <v>4</v>
      </c>
      <c r="AN68" s="1699">
        <f t="shared" si="22"/>
        <v>1</v>
      </c>
      <c r="AO68" s="1697"/>
      <c r="AP68" s="1699" t="s">
        <v>1090</v>
      </c>
      <c r="AQ68" s="1699">
        <f t="shared" si="30"/>
        <v>0</v>
      </c>
      <c r="AR68" s="1699">
        <v>0</v>
      </c>
      <c r="AS68" s="1692"/>
      <c r="AT68" s="1692"/>
      <c r="AU68" s="1692"/>
      <c r="AV68" s="1692"/>
      <c r="AW68" s="2084">
        <f t="shared" si="31"/>
        <v>6</v>
      </c>
      <c r="AX68" s="2085">
        <f t="shared" si="24"/>
        <v>1</v>
      </c>
      <c r="AY68" s="2084">
        <v>6</v>
      </c>
      <c r="AZ68" s="2085">
        <v>1</v>
      </c>
      <c r="BA68" s="2085">
        <v>0.5</v>
      </c>
      <c r="BB68" s="2085">
        <v>0.5</v>
      </c>
      <c r="BC68" s="1989"/>
      <c r="BD68" s="1989"/>
      <c r="BE68" s="101"/>
      <c r="BF68" s="101"/>
      <c r="BG68" s="2339">
        <f t="shared" si="32"/>
        <v>8</v>
      </c>
      <c r="BH68" s="2373">
        <f t="shared" si="25"/>
        <v>1</v>
      </c>
      <c r="BI68" s="2339">
        <v>8</v>
      </c>
      <c r="BJ68" s="2373">
        <v>1</v>
      </c>
      <c r="BK68" s="2373"/>
      <c r="BL68" s="2373">
        <f>BI68/Y68</f>
        <v>0.6666666666666666</v>
      </c>
      <c r="BM68" s="2337"/>
      <c r="BN68" s="2337"/>
      <c r="BO68" s="2408"/>
      <c r="BP68" s="2408"/>
    </row>
    <row r="69" spans="1:68" s="49" customFormat="1" ht="39" customHeight="1" thickBot="1">
      <c r="A69" s="2655"/>
      <c r="B69" s="2655"/>
      <c r="C69" s="2657"/>
      <c r="D69" s="82" t="s">
        <v>851</v>
      </c>
      <c r="E69" s="340" t="s">
        <v>848</v>
      </c>
      <c r="F69" s="2094">
        <v>1</v>
      </c>
      <c r="G69" s="2096" t="s">
        <v>2788</v>
      </c>
      <c r="H69" s="350" t="s">
        <v>855</v>
      </c>
      <c r="I69" s="398">
        <v>0.08333333333333334</v>
      </c>
      <c r="J69" s="350" t="s">
        <v>850</v>
      </c>
      <c r="K69" s="117">
        <v>42036</v>
      </c>
      <c r="L69" s="117">
        <v>42369</v>
      </c>
      <c r="M69" s="2097">
        <v>1</v>
      </c>
      <c r="N69" s="2097">
        <v>1</v>
      </c>
      <c r="O69" s="2097">
        <v>1</v>
      </c>
      <c r="P69" s="2097">
        <v>1</v>
      </c>
      <c r="Q69" s="2097">
        <v>1</v>
      </c>
      <c r="R69" s="2097">
        <v>1</v>
      </c>
      <c r="S69" s="2097">
        <v>1</v>
      </c>
      <c r="T69" s="2097">
        <v>1</v>
      </c>
      <c r="U69" s="2097">
        <v>1</v>
      </c>
      <c r="V69" s="2097">
        <v>1</v>
      </c>
      <c r="W69" s="2097">
        <v>1</v>
      </c>
      <c r="X69" s="2097">
        <v>1</v>
      </c>
      <c r="Y69" s="74" t="s">
        <v>100</v>
      </c>
      <c r="Z69" s="393">
        <v>0</v>
      </c>
      <c r="AA69" s="611" t="s">
        <v>1090</v>
      </c>
      <c r="AB69" s="1378" t="s">
        <v>100</v>
      </c>
      <c r="AC69" s="1371">
        <f t="shared" si="20"/>
        <v>1</v>
      </c>
      <c r="AD69" s="1509">
        <v>0</v>
      </c>
      <c r="AE69" s="1311" t="s">
        <v>1090</v>
      </c>
      <c r="AF69" s="1311" t="s">
        <v>1090</v>
      </c>
      <c r="AG69" s="1311">
        <v>0</v>
      </c>
      <c r="AH69" s="1371"/>
      <c r="AI69" s="1378"/>
      <c r="AJ69" s="1378"/>
      <c r="AK69" s="1378"/>
      <c r="AL69" s="1378"/>
      <c r="AM69" s="1692">
        <f t="shared" si="28"/>
        <v>4</v>
      </c>
      <c r="AN69" s="1699">
        <f t="shared" si="22"/>
        <v>1</v>
      </c>
      <c r="AO69" s="1697">
        <v>0</v>
      </c>
      <c r="AP69" s="1699" t="s">
        <v>1090</v>
      </c>
      <c r="AQ69" s="1699" t="s">
        <v>1090</v>
      </c>
      <c r="AR69" s="1699" t="str">
        <f t="shared" si="23"/>
        <v>-</v>
      </c>
      <c r="AS69" s="1692"/>
      <c r="AT69" s="1692"/>
      <c r="AU69" s="1692"/>
      <c r="AV69" s="1692"/>
      <c r="AW69" s="2084">
        <f t="shared" si="31"/>
        <v>6</v>
      </c>
      <c r="AX69" s="2085">
        <f t="shared" si="24"/>
        <v>1</v>
      </c>
      <c r="AY69" s="2175">
        <v>1</v>
      </c>
      <c r="AZ69" s="2085" t="s">
        <v>1090</v>
      </c>
      <c r="BA69" s="2085" t="s">
        <v>1090</v>
      </c>
      <c r="BB69" s="2085" t="s">
        <v>1090</v>
      </c>
      <c r="BC69" s="1989"/>
      <c r="BD69" s="1989"/>
      <c r="BE69" s="101"/>
      <c r="BF69" s="101"/>
      <c r="BG69" s="2339">
        <f t="shared" si="32"/>
        <v>8</v>
      </c>
      <c r="BH69" s="2373">
        <f t="shared" si="25"/>
        <v>1</v>
      </c>
      <c r="BI69" s="2382">
        <v>1</v>
      </c>
      <c r="BJ69" s="2373">
        <v>1</v>
      </c>
      <c r="BK69" s="2373"/>
      <c r="BL69" s="2373" t="s">
        <v>1090</v>
      </c>
      <c r="BM69" s="2337"/>
      <c r="BN69" s="2337"/>
      <c r="BO69" s="2408"/>
      <c r="BP69" s="2408"/>
    </row>
    <row r="70" spans="1:68" s="49" customFormat="1" ht="39" customHeight="1" thickBot="1">
      <c r="A70" s="2655"/>
      <c r="B70" s="2655"/>
      <c r="C70" s="2656" t="s">
        <v>548</v>
      </c>
      <c r="D70" s="2100" t="s">
        <v>2789</v>
      </c>
      <c r="E70" s="361" t="s">
        <v>852</v>
      </c>
      <c r="F70" s="333">
        <v>1</v>
      </c>
      <c r="G70" s="367" t="s">
        <v>853</v>
      </c>
      <c r="H70" s="1835" t="s">
        <v>855</v>
      </c>
      <c r="I70" s="398">
        <v>0.08333333333333334</v>
      </c>
      <c r="J70" s="359" t="s">
        <v>550</v>
      </c>
      <c r="K70" s="368">
        <v>42339</v>
      </c>
      <c r="L70" s="369">
        <v>42019</v>
      </c>
      <c r="M70" s="370">
        <v>1</v>
      </c>
      <c r="N70" s="371"/>
      <c r="O70" s="372"/>
      <c r="P70" s="1204"/>
      <c r="Q70" s="371"/>
      <c r="R70" s="1204"/>
      <c r="S70" s="371"/>
      <c r="T70" s="372"/>
      <c r="U70" s="374"/>
      <c r="V70" s="375"/>
      <c r="W70" s="374"/>
      <c r="X70" s="376"/>
      <c r="Y70" s="400">
        <f>SUM(M70:X70)</f>
        <v>1</v>
      </c>
      <c r="Z70" s="393">
        <v>0</v>
      </c>
      <c r="AA70" s="611" t="s">
        <v>1090</v>
      </c>
      <c r="AB70" s="1378">
        <f t="shared" si="19"/>
        <v>1</v>
      </c>
      <c r="AC70" s="1371">
        <f t="shared" si="20"/>
        <v>1</v>
      </c>
      <c r="AD70" s="1509">
        <v>1</v>
      </c>
      <c r="AE70" s="1311">
        <f t="shared" si="21"/>
        <v>1</v>
      </c>
      <c r="AF70" s="1311">
        <f t="shared" si="26"/>
        <v>1</v>
      </c>
      <c r="AG70" s="1311">
        <f t="shared" si="27"/>
        <v>1</v>
      </c>
      <c r="AH70" s="1371"/>
      <c r="AI70" s="1378"/>
      <c r="AJ70" s="1378"/>
      <c r="AK70" s="1378" t="s">
        <v>1824</v>
      </c>
      <c r="AL70" s="1378"/>
      <c r="AM70" s="1692">
        <f t="shared" si="28"/>
        <v>1</v>
      </c>
      <c r="AN70" s="1699">
        <f t="shared" si="22"/>
        <v>1</v>
      </c>
      <c r="AO70" s="1697">
        <v>1</v>
      </c>
      <c r="AP70" s="1699">
        <f t="shared" si="29"/>
        <v>1</v>
      </c>
      <c r="AQ70" s="1699">
        <f t="shared" si="30"/>
        <v>1</v>
      </c>
      <c r="AR70" s="1699">
        <f t="shared" si="23"/>
        <v>1</v>
      </c>
      <c r="AS70" s="1692"/>
      <c r="AT70" s="1692"/>
      <c r="AU70" s="1692"/>
      <c r="AV70" s="1692"/>
      <c r="AW70" s="2084">
        <f t="shared" si="31"/>
        <v>1</v>
      </c>
      <c r="AX70" s="2085">
        <f t="shared" si="24"/>
        <v>1</v>
      </c>
      <c r="AY70" s="2084">
        <v>1</v>
      </c>
      <c r="AZ70" s="2085">
        <v>1</v>
      </c>
      <c r="BA70" s="2085">
        <v>1</v>
      </c>
      <c r="BB70" s="2085">
        <v>1</v>
      </c>
      <c r="BC70" s="1989"/>
      <c r="BD70" s="1989"/>
      <c r="BE70" s="101"/>
      <c r="BF70" s="101"/>
      <c r="BG70" s="2339">
        <f t="shared" si="32"/>
        <v>1</v>
      </c>
      <c r="BH70" s="2373">
        <f t="shared" si="25"/>
        <v>1</v>
      </c>
      <c r="BI70" s="2339">
        <v>1</v>
      </c>
      <c r="BJ70" s="2373">
        <v>1</v>
      </c>
      <c r="BK70" s="2373"/>
      <c r="BL70" s="2373">
        <v>1</v>
      </c>
      <c r="BM70" s="2337"/>
      <c r="BN70" s="2337"/>
      <c r="BO70" s="2408"/>
      <c r="BP70" s="2408"/>
    </row>
    <row r="71" spans="1:68" s="49" customFormat="1" ht="39" customHeight="1" thickBot="1">
      <c r="A71" s="2655"/>
      <c r="B71" s="2655"/>
      <c r="C71" s="2657"/>
      <c r="D71" s="94" t="s">
        <v>549</v>
      </c>
      <c r="E71" s="401" t="s">
        <v>136</v>
      </c>
      <c r="F71" s="2102">
        <v>4</v>
      </c>
      <c r="G71" s="402" t="s">
        <v>137</v>
      </c>
      <c r="H71" s="2104" t="s">
        <v>2790</v>
      </c>
      <c r="I71" s="398">
        <v>0.08333333333333334</v>
      </c>
      <c r="J71" s="359" t="s">
        <v>550</v>
      </c>
      <c r="K71" s="368">
        <v>42339</v>
      </c>
      <c r="L71" s="403">
        <v>42369</v>
      </c>
      <c r="M71" s="57"/>
      <c r="N71" s="2092">
        <v>1</v>
      </c>
      <c r="O71" s="2092"/>
      <c r="P71" s="2092">
        <v>1</v>
      </c>
      <c r="Q71" s="2092"/>
      <c r="R71" s="2092">
        <v>1</v>
      </c>
      <c r="S71" s="2092"/>
      <c r="T71" s="2092">
        <v>1</v>
      </c>
      <c r="U71" s="2092"/>
      <c r="V71" s="2092">
        <v>1</v>
      </c>
      <c r="W71" s="2092"/>
      <c r="X71" s="2092">
        <v>1</v>
      </c>
      <c r="Y71" s="2103">
        <f>SUM(M71:X71)</f>
        <v>6</v>
      </c>
      <c r="Z71" s="393">
        <v>0</v>
      </c>
      <c r="AA71" s="611" t="s">
        <v>1090</v>
      </c>
      <c r="AB71" s="1378">
        <f t="shared" si="19"/>
        <v>1</v>
      </c>
      <c r="AC71" s="1371">
        <f t="shared" si="20"/>
        <v>1</v>
      </c>
      <c r="AD71" s="1509">
        <v>0</v>
      </c>
      <c r="AE71" s="1311">
        <f t="shared" si="21"/>
        <v>0</v>
      </c>
      <c r="AF71" s="1311">
        <f t="shared" si="26"/>
        <v>0</v>
      </c>
      <c r="AG71" s="1311">
        <f t="shared" si="27"/>
        <v>0</v>
      </c>
      <c r="AH71" s="1371"/>
      <c r="AI71" s="1378"/>
      <c r="AJ71" s="1378"/>
      <c r="AK71" s="1378"/>
      <c r="AL71" s="1378"/>
      <c r="AM71" s="1692">
        <f t="shared" si="28"/>
        <v>2</v>
      </c>
      <c r="AN71" s="1699">
        <f t="shared" si="22"/>
        <v>1</v>
      </c>
      <c r="AO71" s="1697">
        <v>2</v>
      </c>
      <c r="AP71" s="1699">
        <f t="shared" si="29"/>
        <v>1</v>
      </c>
      <c r="AQ71" s="1699">
        <f t="shared" si="30"/>
        <v>0.3333333333333333</v>
      </c>
      <c r="AR71" s="1699">
        <f t="shared" si="23"/>
        <v>1</v>
      </c>
      <c r="AS71" s="1692"/>
      <c r="AT71" s="1692"/>
      <c r="AU71" s="1692"/>
      <c r="AV71" s="1692"/>
      <c r="AW71" s="2084">
        <f t="shared" si="31"/>
        <v>3</v>
      </c>
      <c r="AX71" s="2085">
        <f t="shared" si="24"/>
        <v>1</v>
      </c>
      <c r="AY71" s="2084">
        <v>3</v>
      </c>
      <c r="AZ71" s="2085">
        <v>1</v>
      </c>
      <c r="BA71" s="2085">
        <v>0.5</v>
      </c>
      <c r="BB71" s="2085">
        <v>0.5</v>
      </c>
      <c r="BC71" s="1989"/>
      <c r="BD71" s="1989"/>
      <c r="BE71" s="101"/>
      <c r="BF71" s="101"/>
      <c r="BG71" s="2339">
        <f t="shared" si="32"/>
        <v>4</v>
      </c>
      <c r="BH71" s="2373">
        <f t="shared" si="25"/>
        <v>1</v>
      </c>
      <c r="BI71" s="2339">
        <v>3</v>
      </c>
      <c r="BJ71" s="2373">
        <f>BI71/BG71</f>
        <v>0.75</v>
      </c>
      <c r="BK71" s="2373"/>
      <c r="BL71" s="2373">
        <v>0.5</v>
      </c>
      <c r="BM71" s="2337"/>
      <c r="BN71" s="2337"/>
      <c r="BO71" s="2408"/>
      <c r="BP71" s="2408"/>
    </row>
    <row r="72" spans="1:68" s="606" customFormat="1" ht="20.1" customHeight="1" thickBot="1">
      <c r="A72" s="2652" t="s">
        <v>130</v>
      </c>
      <c r="B72" s="2653"/>
      <c r="C72" s="2653"/>
      <c r="D72" s="2654"/>
      <c r="E72" s="1757"/>
      <c r="F72" s="1757"/>
      <c r="G72" s="1757"/>
      <c r="H72" s="1757"/>
      <c r="I72" s="86">
        <f>+SUM(I60:I71)</f>
        <v>1.0000000000000002</v>
      </c>
      <c r="J72" s="1757"/>
      <c r="K72" s="1757"/>
      <c r="L72" s="1757"/>
      <c r="M72" s="1757"/>
      <c r="N72" s="1757"/>
      <c r="O72" s="1757"/>
      <c r="P72" s="1757"/>
      <c r="Q72" s="1757"/>
      <c r="R72" s="1757"/>
      <c r="S72" s="1757"/>
      <c r="T72" s="1757"/>
      <c r="U72" s="1757"/>
      <c r="V72" s="1757"/>
      <c r="W72" s="1757"/>
      <c r="X72" s="1757"/>
      <c r="Y72" s="87"/>
      <c r="Z72" s="88">
        <f>SUM(Z60:Z71)</f>
        <v>0</v>
      </c>
      <c r="AA72" s="1758"/>
      <c r="AB72" s="1502"/>
      <c r="AC72" s="1545">
        <f>AVERAGEIF(AC60:AC71,"&gt;0")</f>
        <v>1</v>
      </c>
      <c r="AD72" s="1515"/>
      <c r="AE72" s="1501" t="e">
        <f>AVERAGE(AE60:AE71)</f>
        <v>#DIV/0!</v>
      </c>
      <c r="AF72" s="1501" t="e">
        <f t="shared" si="26"/>
        <v>#DIV/0!</v>
      </c>
      <c r="AG72" s="1501">
        <f>AVERAGE(AG60:AG71)</f>
        <v>0.3340909090909091</v>
      </c>
      <c r="AH72" s="1324"/>
      <c r="AI72" s="1324"/>
      <c r="AJ72" s="1324"/>
      <c r="AK72" s="1324"/>
      <c r="AL72" s="1324"/>
      <c r="AM72" s="1834"/>
      <c r="AN72" s="1913">
        <f>AVERAGEIF(AN65:AN71,"&gt;0")</f>
        <v>1</v>
      </c>
      <c r="AO72" s="1917"/>
      <c r="AP72" s="1945">
        <f>AVERAGE(AP60:AP71)</f>
        <v>0.9444444444444443</v>
      </c>
      <c r="AQ72" s="1834"/>
      <c r="AR72" s="1945">
        <f>AVERAGE(AR60:AR71)</f>
        <v>0.5833333333333333</v>
      </c>
      <c r="AS72" s="1834"/>
      <c r="AT72" s="1834"/>
      <c r="AU72" s="1834"/>
      <c r="AV72" s="1834"/>
      <c r="AW72" s="1325"/>
      <c r="AX72" s="1878">
        <v>1</v>
      </c>
      <c r="AY72" s="1325"/>
      <c r="AZ72" s="1879">
        <f>AVERAGE(AZ60:AZ71)</f>
        <v>1</v>
      </c>
      <c r="BA72" s="1325"/>
      <c r="BB72" s="1879">
        <f>AVERAGE(BB60:BB71)</f>
        <v>0.601010101010101</v>
      </c>
      <c r="BC72" s="1325"/>
      <c r="BD72" s="1325"/>
      <c r="BE72" s="1325"/>
      <c r="BF72" s="1325"/>
      <c r="BG72" s="1325"/>
      <c r="BH72" s="1878">
        <v>1</v>
      </c>
      <c r="BI72" s="1325"/>
      <c r="BJ72" s="2503">
        <f>AVERAGE(BJ60:BJ71)</f>
        <v>0.9772727272727273</v>
      </c>
      <c r="BK72" s="1325"/>
      <c r="BL72" s="2503">
        <f>AVERAGE(BL60:BL71)</f>
        <v>0.6599326599326599</v>
      </c>
      <c r="BM72" s="1325"/>
      <c r="BN72" s="1325"/>
      <c r="BO72" s="1325"/>
      <c r="BP72" s="1325"/>
    </row>
    <row r="73" spans="1:68" s="49" customFormat="1" ht="42.75" customHeight="1" thickBot="1">
      <c r="A73" s="2671">
        <v>2</v>
      </c>
      <c r="B73" s="2671" t="s">
        <v>131</v>
      </c>
      <c r="C73" s="2656" t="s">
        <v>854</v>
      </c>
      <c r="D73" s="1770" t="s">
        <v>2439</v>
      </c>
      <c r="E73" s="38" t="s">
        <v>72</v>
      </c>
      <c r="F73" s="111">
        <v>1</v>
      </c>
      <c r="G73" s="208" t="s">
        <v>73</v>
      </c>
      <c r="H73" s="40" t="s">
        <v>855</v>
      </c>
      <c r="I73" s="106">
        <v>0.047619047619047616</v>
      </c>
      <c r="J73" s="42" t="s">
        <v>856</v>
      </c>
      <c r="K73" s="43">
        <v>42009</v>
      </c>
      <c r="L73" s="43">
        <v>42024</v>
      </c>
      <c r="M73" s="44">
        <v>1</v>
      </c>
      <c r="N73" s="44"/>
      <c r="O73" s="44"/>
      <c r="P73" s="44"/>
      <c r="Q73" s="44"/>
      <c r="R73" s="44"/>
      <c r="S73" s="44"/>
      <c r="T73" s="44"/>
      <c r="U73" s="44"/>
      <c r="V73" s="44"/>
      <c r="W73" s="44"/>
      <c r="X73" s="44"/>
      <c r="Y73" s="45">
        <f>SUM(M73:X73)</f>
        <v>1</v>
      </c>
      <c r="Z73" s="393">
        <v>0</v>
      </c>
      <c r="AA73" s="611" t="s">
        <v>1090</v>
      </c>
      <c r="AB73" s="1378">
        <f t="shared" si="19"/>
        <v>1</v>
      </c>
      <c r="AC73" s="1371">
        <f t="shared" si="20"/>
        <v>1</v>
      </c>
      <c r="AD73" s="1509">
        <v>1</v>
      </c>
      <c r="AE73" s="1311">
        <f t="shared" si="21"/>
        <v>1</v>
      </c>
      <c r="AF73" s="1311">
        <f t="shared" si="26"/>
        <v>1</v>
      </c>
      <c r="AG73" s="1311">
        <f>AF73</f>
        <v>1</v>
      </c>
      <c r="AH73" s="1371"/>
      <c r="AI73" s="1378"/>
      <c r="AJ73" s="1378"/>
      <c r="AK73" s="1378"/>
      <c r="AL73" s="1378"/>
      <c r="AM73" s="1692">
        <f>SUM(M73:P73)</f>
        <v>1</v>
      </c>
      <c r="AN73" s="1699">
        <f t="shared" si="22"/>
        <v>1</v>
      </c>
      <c r="AO73" s="1697">
        <v>0</v>
      </c>
      <c r="AP73" s="1699">
        <f>AO73/AM73</f>
        <v>0</v>
      </c>
      <c r="AQ73" s="1699">
        <f>AO73/Y73</f>
        <v>0</v>
      </c>
      <c r="AR73" s="1699">
        <f t="shared" si="23"/>
        <v>0</v>
      </c>
      <c r="AS73" s="1692"/>
      <c r="AT73" s="1692"/>
      <c r="AU73" s="1692"/>
      <c r="AV73" s="1692"/>
      <c r="AW73" s="2084">
        <f>SUM(M73:R73)</f>
        <v>1</v>
      </c>
      <c r="AX73" s="2085">
        <f t="shared" si="24"/>
        <v>1</v>
      </c>
      <c r="AY73" s="1989">
        <v>1</v>
      </c>
      <c r="AZ73" s="2085">
        <v>1</v>
      </c>
      <c r="BA73" s="1989"/>
      <c r="BB73" s="2085">
        <v>1</v>
      </c>
      <c r="BC73" s="1989"/>
      <c r="BD73" s="1989"/>
      <c r="BE73" s="101"/>
      <c r="BF73" s="101"/>
      <c r="BG73" s="2339">
        <f>SUM(M73:T73)</f>
        <v>1</v>
      </c>
      <c r="BH73" s="2373">
        <f t="shared" si="25"/>
        <v>1</v>
      </c>
      <c r="BI73" s="2337">
        <v>1</v>
      </c>
      <c r="BJ73" s="2373">
        <v>1</v>
      </c>
      <c r="BK73" s="2337"/>
      <c r="BL73" s="2373">
        <v>1</v>
      </c>
      <c r="BM73" s="2337"/>
      <c r="BN73" s="2337"/>
      <c r="BO73" s="2408"/>
      <c r="BP73" s="2408"/>
    </row>
    <row r="74" spans="1:68" s="49" customFormat="1" ht="42.75" customHeight="1" thickBot="1">
      <c r="A74" s="2672"/>
      <c r="B74" s="2672"/>
      <c r="C74" s="2657"/>
      <c r="D74" s="107" t="s">
        <v>857</v>
      </c>
      <c r="E74" s="216" t="s">
        <v>231</v>
      </c>
      <c r="F74" s="215">
        <v>2</v>
      </c>
      <c r="G74" s="216" t="s">
        <v>73</v>
      </c>
      <c r="H74" s="40" t="s">
        <v>855</v>
      </c>
      <c r="I74" s="106">
        <v>0.047619047619047616</v>
      </c>
      <c r="J74" s="55" t="s">
        <v>858</v>
      </c>
      <c r="K74" s="56">
        <v>42339</v>
      </c>
      <c r="L74" s="56">
        <v>42369</v>
      </c>
      <c r="M74" s="57">
        <v>2</v>
      </c>
      <c r="N74" s="57"/>
      <c r="O74" s="57"/>
      <c r="P74" s="57"/>
      <c r="Q74" s="57"/>
      <c r="R74" s="57"/>
      <c r="S74" s="57"/>
      <c r="T74" s="57"/>
      <c r="U74" s="57"/>
      <c r="V74" s="57"/>
      <c r="W74" s="57"/>
      <c r="X74" s="57"/>
      <c r="Y74" s="45">
        <f aca="true" t="shared" si="33" ref="Y74:Y91">SUM(M74:X74)</f>
        <v>2</v>
      </c>
      <c r="Z74" s="393">
        <v>0</v>
      </c>
      <c r="AA74" s="611" t="s">
        <v>1090</v>
      </c>
      <c r="AB74" s="1378">
        <f t="shared" si="19"/>
        <v>2</v>
      </c>
      <c r="AC74" s="1371">
        <f t="shared" si="20"/>
        <v>1</v>
      </c>
      <c r="AD74" s="1509">
        <v>2</v>
      </c>
      <c r="AE74" s="1311">
        <f t="shared" si="21"/>
        <v>1</v>
      </c>
      <c r="AF74" s="1311">
        <f t="shared" si="26"/>
        <v>1</v>
      </c>
      <c r="AG74" s="1311">
        <f aca="true" t="shared" si="34" ref="AG74:AG89">AF74</f>
        <v>1</v>
      </c>
      <c r="AH74" s="1371"/>
      <c r="AI74" s="1378"/>
      <c r="AJ74" s="1378"/>
      <c r="AK74" s="1378"/>
      <c r="AL74" s="1378"/>
      <c r="AM74" s="1692">
        <f aca="true" t="shared" si="35" ref="AM74:AM93">SUM(M74:P74)</f>
        <v>2</v>
      </c>
      <c r="AN74" s="1699">
        <f t="shared" si="22"/>
        <v>1</v>
      </c>
      <c r="AO74" s="1697">
        <v>0</v>
      </c>
      <c r="AP74" s="1699">
        <f aca="true" t="shared" si="36" ref="AP74:AP93">AO74/AM74</f>
        <v>0</v>
      </c>
      <c r="AQ74" s="1699">
        <f aca="true" t="shared" si="37" ref="AQ74:AQ93">AO74/Y74</f>
        <v>0</v>
      </c>
      <c r="AR74" s="1699">
        <f t="shared" si="23"/>
        <v>0</v>
      </c>
      <c r="AS74" s="1692"/>
      <c r="AT74" s="1692"/>
      <c r="AU74" s="1692"/>
      <c r="AV74" s="1692"/>
      <c r="AW74" s="2084">
        <f aca="true" t="shared" si="38" ref="AW74:AW94">SUM(M74:R74)</f>
        <v>2</v>
      </c>
      <c r="AX74" s="2085">
        <f t="shared" si="24"/>
        <v>1</v>
      </c>
      <c r="AY74" s="1989">
        <v>2</v>
      </c>
      <c r="AZ74" s="2085">
        <v>1</v>
      </c>
      <c r="BA74" s="1989"/>
      <c r="BB74" s="2085">
        <v>1</v>
      </c>
      <c r="BC74" s="1989"/>
      <c r="BD74" s="1989"/>
      <c r="BE74" s="101"/>
      <c r="BF74" s="101"/>
      <c r="BG74" s="2339">
        <f aca="true" t="shared" si="39" ref="BG74:BG94">SUM(M74:T74)</f>
        <v>2</v>
      </c>
      <c r="BH74" s="2373">
        <f t="shared" si="25"/>
        <v>1</v>
      </c>
      <c r="BI74" s="2337">
        <v>2</v>
      </c>
      <c r="BJ74" s="2373">
        <v>1</v>
      </c>
      <c r="BK74" s="2337"/>
      <c r="BL74" s="2373">
        <v>1</v>
      </c>
      <c r="BM74" s="2337"/>
      <c r="BN74" s="2337"/>
      <c r="BO74" s="2408"/>
      <c r="BP74" s="2408"/>
    </row>
    <row r="75" spans="1:68" s="49" customFormat="1" ht="78.75" customHeight="1" thickBot="1">
      <c r="A75" s="2672"/>
      <c r="B75" s="2672"/>
      <c r="C75" s="2657"/>
      <c r="D75" s="1770" t="s">
        <v>859</v>
      </c>
      <c r="E75" s="216" t="s">
        <v>72</v>
      </c>
      <c r="F75" s="215">
        <v>1</v>
      </c>
      <c r="G75" s="216" t="s">
        <v>73</v>
      </c>
      <c r="H75" s="40" t="s">
        <v>855</v>
      </c>
      <c r="I75" s="106">
        <v>0.047619047619047616</v>
      </c>
      <c r="J75" s="42" t="s">
        <v>860</v>
      </c>
      <c r="K75" s="43">
        <v>42009</v>
      </c>
      <c r="L75" s="43">
        <v>42019</v>
      </c>
      <c r="M75" s="44">
        <v>1</v>
      </c>
      <c r="N75" s="44"/>
      <c r="O75" s="44"/>
      <c r="P75" s="44"/>
      <c r="Q75" s="44"/>
      <c r="R75" s="44"/>
      <c r="S75" s="44"/>
      <c r="T75" s="44"/>
      <c r="U75" s="44"/>
      <c r="V75" s="44"/>
      <c r="W75" s="44"/>
      <c r="X75" s="44"/>
      <c r="Y75" s="45">
        <f t="shared" si="33"/>
        <v>1</v>
      </c>
      <c r="Z75" s="393">
        <v>0</v>
      </c>
      <c r="AA75" s="611" t="s">
        <v>1090</v>
      </c>
      <c r="AB75" s="1378">
        <f t="shared" si="19"/>
        <v>1</v>
      </c>
      <c r="AC75" s="1371">
        <f t="shared" si="20"/>
        <v>1</v>
      </c>
      <c r="AD75" s="1509">
        <v>1</v>
      </c>
      <c r="AE75" s="1311">
        <f t="shared" si="21"/>
        <v>1</v>
      </c>
      <c r="AF75" s="1311">
        <f t="shared" si="26"/>
        <v>1</v>
      </c>
      <c r="AG75" s="1311">
        <f t="shared" si="34"/>
        <v>1</v>
      </c>
      <c r="AH75" s="1371"/>
      <c r="AI75" s="1378"/>
      <c r="AJ75" s="1378"/>
      <c r="AK75" s="1378"/>
      <c r="AL75" s="1378"/>
      <c r="AM75" s="1692">
        <f t="shared" si="35"/>
        <v>1</v>
      </c>
      <c r="AN75" s="1699">
        <f t="shared" si="22"/>
        <v>1</v>
      </c>
      <c r="AO75" s="1697">
        <v>0</v>
      </c>
      <c r="AP75" s="1699">
        <f t="shared" si="36"/>
        <v>0</v>
      </c>
      <c r="AQ75" s="1699">
        <f t="shared" si="37"/>
        <v>0</v>
      </c>
      <c r="AR75" s="1699">
        <f t="shared" si="23"/>
        <v>0</v>
      </c>
      <c r="AS75" s="1692"/>
      <c r="AT75" s="1692"/>
      <c r="AU75" s="1692"/>
      <c r="AV75" s="1692"/>
      <c r="AW75" s="2084">
        <f t="shared" si="38"/>
        <v>1</v>
      </c>
      <c r="AX75" s="2085">
        <f t="shared" si="24"/>
        <v>1</v>
      </c>
      <c r="AY75" s="1989">
        <v>1</v>
      </c>
      <c r="AZ75" s="2085">
        <v>1</v>
      </c>
      <c r="BA75" s="1989"/>
      <c r="BB75" s="2085">
        <v>1</v>
      </c>
      <c r="BC75" s="1989"/>
      <c r="BD75" s="1989"/>
      <c r="BE75" s="101"/>
      <c r="BF75" s="101"/>
      <c r="BG75" s="2339">
        <f t="shared" si="39"/>
        <v>1</v>
      </c>
      <c r="BH75" s="2373">
        <f t="shared" si="25"/>
        <v>1</v>
      </c>
      <c r="BI75" s="2337">
        <v>1</v>
      </c>
      <c r="BJ75" s="2373">
        <v>1</v>
      </c>
      <c r="BK75" s="2337"/>
      <c r="BL75" s="2373">
        <v>1</v>
      </c>
      <c r="BM75" s="2337"/>
      <c r="BN75" s="2337"/>
      <c r="BO75" s="2408"/>
      <c r="BP75" s="2408"/>
    </row>
    <row r="76" spans="1:68" s="49" customFormat="1" ht="59.25" customHeight="1" thickBot="1">
      <c r="A76" s="2672"/>
      <c r="B76" s="2672"/>
      <c r="C76" s="2657"/>
      <c r="D76" s="1770" t="s">
        <v>861</v>
      </c>
      <c r="E76" s="38" t="s">
        <v>72</v>
      </c>
      <c r="F76" s="111">
        <v>1</v>
      </c>
      <c r="G76" s="216" t="s">
        <v>73</v>
      </c>
      <c r="H76" s="40" t="s">
        <v>855</v>
      </c>
      <c r="I76" s="106">
        <v>0.047619047619047616</v>
      </c>
      <c r="J76" s="42" t="s">
        <v>860</v>
      </c>
      <c r="K76" s="43">
        <v>42361</v>
      </c>
      <c r="L76" s="43">
        <v>42014</v>
      </c>
      <c r="M76" s="44">
        <v>1</v>
      </c>
      <c r="N76" s="44"/>
      <c r="O76" s="44"/>
      <c r="P76" s="44"/>
      <c r="Q76" s="44"/>
      <c r="R76" s="44"/>
      <c r="S76" s="44"/>
      <c r="T76" s="44"/>
      <c r="U76" s="44"/>
      <c r="V76" s="44"/>
      <c r="W76" s="44"/>
      <c r="X76" s="44"/>
      <c r="Y76" s="45">
        <f t="shared" si="33"/>
        <v>1</v>
      </c>
      <c r="Z76" s="393">
        <v>0</v>
      </c>
      <c r="AA76" s="611" t="s">
        <v>1090</v>
      </c>
      <c r="AB76" s="1378">
        <f t="shared" si="19"/>
        <v>1</v>
      </c>
      <c r="AC76" s="1371">
        <f t="shared" si="20"/>
        <v>1</v>
      </c>
      <c r="AD76" s="1509">
        <v>1</v>
      </c>
      <c r="AE76" s="1311">
        <f t="shared" si="21"/>
        <v>1</v>
      </c>
      <c r="AF76" s="1311">
        <f t="shared" si="26"/>
        <v>1</v>
      </c>
      <c r="AG76" s="1311">
        <f t="shared" si="34"/>
        <v>1</v>
      </c>
      <c r="AH76" s="1371"/>
      <c r="AI76" s="1378"/>
      <c r="AJ76" s="1378"/>
      <c r="AK76" s="1378"/>
      <c r="AL76" s="1378"/>
      <c r="AM76" s="1692">
        <f t="shared" si="35"/>
        <v>1</v>
      </c>
      <c r="AN76" s="1699">
        <f t="shared" si="22"/>
        <v>1</v>
      </c>
      <c r="AO76" s="1697">
        <v>0</v>
      </c>
      <c r="AP76" s="1699">
        <f t="shared" si="36"/>
        <v>0</v>
      </c>
      <c r="AQ76" s="1699">
        <f t="shared" si="37"/>
        <v>0</v>
      </c>
      <c r="AR76" s="1699">
        <f t="shared" si="23"/>
        <v>0</v>
      </c>
      <c r="AS76" s="1692"/>
      <c r="AT76" s="1692"/>
      <c r="AU76" s="1692"/>
      <c r="AV76" s="1692"/>
      <c r="AW76" s="2084">
        <f t="shared" si="38"/>
        <v>1</v>
      </c>
      <c r="AX76" s="2085">
        <f t="shared" si="24"/>
        <v>1</v>
      </c>
      <c r="AY76" s="1989">
        <v>1</v>
      </c>
      <c r="AZ76" s="2085">
        <v>1</v>
      </c>
      <c r="BA76" s="1989"/>
      <c r="BB76" s="2085">
        <v>1</v>
      </c>
      <c r="BC76" s="1989"/>
      <c r="BD76" s="1989"/>
      <c r="BE76" s="101"/>
      <c r="BF76" s="101"/>
      <c r="BG76" s="2339">
        <f t="shared" si="39"/>
        <v>1</v>
      </c>
      <c r="BH76" s="2373">
        <f t="shared" si="25"/>
        <v>1</v>
      </c>
      <c r="BI76" s="2337">
        <v>1</v>
      </c>
      <c r="BJ76" s="2373">
        <v>1</v>
      </c>
      <c r="BK76" s="2337"/>
      <c r="BL76" s="2373">
        <v>1</v>
      </c>
      <c r="BM76" s="2337"/>
      <c r="BN76" s="2337"/>
      <c r="BO76" s="2408"/>
      <c r="BP76" s="2408"/>
    </row>
    <row r="77" spans="1:68" s="49" customFormat="1" ht="57.75" customHeight="1" thickBot="1">
      <c r="A77" s="2672"/>
      <c r="B77" s="2672"/>
      <c r="C77" s="2657"/>
      <c r="D77" s="107" t="s">
        <v>862</v>
      </c>
      <c r="E77" s="216" t="s">
        <v>62</v>
      </c>
      <c r="F77" s="404">
        <v>1</v>
      </c>
      <c r="G77" s="216" t="s">
        <v>863</v>
      </c>
      <c r="H77" s="1836" t="s">
        <v>2012</v>
      </c>
      <c r="I77" s="106">
        <v>0.047619047619047616</v>
      </c>
      <c r="J77" s="55" t="s">
        <v>864</v>
      </c>
      <c r="K77" s="56">
        <v>42005</v>
      </c>
      <c r="L77" s="56">
        <v>42369</v>
      </c>
      <c r="M77" s="494">
        <v>0.166</v>
      </c>
      <c r="N77" s="494"/>
      <c r="O77" s="494">
        <v>0.166</v>
      </c>
      <c r="P77" s="494"/>
      <c r="Q77" s="494">
        <v>0.166</v>
      </c>
      <c r="R77" s="494"/>
      <c r="S77" s="494">
        <v>0.166</v>
      </c>
      <c r="T77" s="494"/>
      <c r="U77" s="494">
        <v>0.166</v>
      </c>
      <c r="V77" s="494"/>
      <c r="W77" s="494">
        <v>0.166</v>
      </c>
      <c r="X77" s="494"/>
      <c r="Y77" s="1300">
        <v>1</v>
      </c>
      <c r="Z77" s="393">
        <v>0</v>
      </c>
      <c r="AA77" s="611" t="s">
        <v>1090</v>
      </c>
      <c r="AB77" s="1378">
        <f t="shared" si="19"/>
        <v>0.166</v>
      </c>
      <c r="AC77" s="1371">
        <f t="shared" si="20"/>
        <v>1</v>
      </c>
      <c r="AD77" s="1509">
        <v>0.166</v>
      </c>
      <c r="AE77" s="1311">
        <f t="shared" si="21"/>
        <v>1</v>
      </c>
      <c r="AF77" s="1311">
        <f t="shared" si="26"/>
        <v>0.166</v>
      </c>
      <c r="AG77" s="1311">
        <f t="shared" si="34"/>
        <v>0.166</v>
      </c>
      <c r="AH77" s="1371"/>
      <c r="AI77" s="1378"/>
      <c r="AJ77" s="1378"/>
      <c r="AK77" s="1378"/>
      <c r="AL77" s="1378"/>
      <c r="AM77" s="1692">
        <f t="shared" si="35"/>
        <v>0.332</v>
      </c>
      <c r="AN77" s="1699">
        <f t="shared" si="22"/>
        <v>1</v>
      </c>
      <c r="AO77" s="1697">
        <v>0.16</v>
      </c>
      <c r="AP77" s="1699">
        <f t="shared" si="36"/>
        <v>0.4819277108433735</v>
      </c>
      <c r="AQ77" s="1699">
        <f t="shared" si="37"/>
        <v>0.16</v>
      </c>
      <c r="AR77" s="1699">
        <f t="shared" si="23"/>
        <v>0.4819277108433735</v>
      </c>
      <c r="AS77" s="1692"/>
      <c r="AT77" s="1692"/>
      <c r="AU77" s="1692"/>
      <c r="AV77" s="1692"/>
      <c r="AW77" s="2085">
        <f t="shared" si="38"/>
        <v>0.498</v>
      </c>
      <c r="AX77" s="2085">
        <f t="shared" si="24"/>
        <v>1</v>
      </c>
      <c r="AY77" s="2317">
        <v>0.5</v>
      </c>
      <c r="AZ77" s="2085">
        <v>1</v>
      </c>
      <c r="BA77" s="1989"/>
      <c r="BB77" s="2085">
        <v>0.5</v>
      </c>
      <c r="BC77" s="1989"/>
      <c r="BD77" s="1989"/>
      <c r="BE77" s="101"/>
      <c r="BF77" s="101"/>
      <c r="BG77" s="2373">
        <f t="shared" si="39"/>
        <v>0.664</v>
      </c>
      <c r="BH77" s="2373">
        <f t="shared" si="25"/>
        <v>1</v>
      </c>
      <c r="BI77" s="2382">
        <v>0.66</v>
      </c>
      <c r="BJ77" s="2373">
        <v>1</v>
      </c>
      <c r="BK77" s="2337"/>
      <c r="BL77" s="2373">
        <f>BI77/Y77</f>
        <v>0.66</v>
      </c>
      <c r="BM77" s="2337"/>
      <c r="BN77" s="2337"/>
      <c r="BO77" s="2408"/>
      <c r="BP77" s="2408"/>
    </row>
    <row r="78" spans="1:68" s="49" customFormat="1" ht="39" thickBot="1">
      <c r="A78" s="2672"/>
      <c r="B78" s="2672"/>
      <c r="C78" s="2656" t="s">
        <v>865</v>
      </c>
      <c r="D78" s="107" t="s">
        <v>866</v>
      </c>
      <c r="E78" s="405" t="s">
        <v>867</v>
      </c>
      <c r="F78" s="2105">
        <v>6</v>
      </c>
      <c r="G78" s="405" t="s">
        <v>868</v>
      </c>
      <c r="H78" s="406" t="s">
        <v>845</v>
      </c>
      <c r="I78" s="106">
        <v>0.047619047619047616</v>
      </c>
      <c r="J78" s="407" t="s">
        <v>875</v>
      </c>
      <c r="K78" s="68">
        <v>42005</v>
      </c>
      <c r="L78" s="68">
        <v>42369</v>
      </c>
      <c r="M78" s="2092">
        <v>2</v>
      </c>
      <c r="N78" s="2092"/>
      <c r="O78" s="2092"/>
      <c r="P78" s="2092">
        <v>2</v>
      </c>
      <c r="Q78" s="2092"/>
      <c r="R78" s="2092"/>
      <c r="S78" s="2092"/>
      <c r="T78" s="2092">
        <v>2</v>
      </c>
      <c r="U78" s="57"/>
      <c r="V78" s="57"/>
      <c r="W78" s="57"/>
      <c r="X78" s="57"/>
      <c r="Y78" s="2106">
        <f>SUM(M78:X78)</f>
        <v>6</v>
      </c>
      <c r="Z78" s="408">
        <v>0</v>
      </c>
      <c r="AA78" s="611" t="s">
        <v>1090</v>
      </c>
      <c r="AB78" s="1378" t="s">
        <v>100</v>
      </c>
      <c r="AC78" s="1371">
        <f t="shared" si="20"/>
        <v>1</v>
      </c>
      <c r="AD78" s="1509">
        <v>0</v>
      </c>
      <c r="AE78" s="1311" t="s">
        <v>1090</v>
      </c>
      <c r="AF78" s="1311" t="s">
        <v>1090</v>
      </c>
      <c r="AG78" s="1311">
        <v>0</v>
      </c>
      <c r="AH78" s="1371"/>
      <c r="AI78" s="1378"/>
      <c r="AJ78" s="1378"/>
      <c r="AK78" s="1378"/>
      <c r="AL78" s="1378"/>
      <c r="AM78" s="1692">
        <f t="shared" si="35"/>
        <v>4</v>
      </c>
      <c r="AN78" s="1699">
        <f t="shared" si="22"/>
        <v>1</v>
      </c>
      <c r="AO78" s="1697"/>
      <c r="AP78" s="1699" t="s">
        <v>1090</v>
      </c>
      <c r="AQ78" s="1699" t="s">
        <v>1090</v>
      </c>
      <c r="AR78" s="1699" t="str">
        <f t="shared" si="23"/>
        <v>-</v>
      </c>
      <c r="AS78" s="1692"/>
      <c r="AT78" s="1692"/>
      <c r="AU78" s="1692"/>
      <c r="AV78" s="1692"/>
      <c r="AW78" s="2084">
        <f t="shared" si="38"/>
        <v>4</v>
      </c>
      <c r="AX78" s="2085">
        <f t="shared" si="24"/>
        <v>1</v>
      </c>
      <c r="AY78" s="1989">
        <v>4</v>
      </c>
      <c r="AZ78" s="2085">
        <v>1</v>
      </c>
      <c r="BA78" s="1989"/>
      <c r="BB78" s="2085">
        <f>AY78/Y78</f>
        <v>0.6666666666666666</v>
      </c>
      <c r="BC78" s="1989"/>
      <c r="BD78" s="1989"/>
      <c r="BE78" s="101"/>
      <c r="BF78" s="101"/>
      <c r="BG78" s="2339">
        <f t="shared" si="39"/>
        <v>6</v>
      </c>
      <c r="BH78" s="2373">
        <f t="shared" si="25"/>
        <v>1</v>
      </c>
      <c r="BI78" s="2337">
        <v>6</v>
      </c>
      <c r="BJ78" s="2373">
        <v>1</v>
      </c>
      <c r="BK78" s="2337"/>
      <c r="BL78" s="2373">
        <v>1</v>
      </c>
      <c r="BM78" s="2337"/>
      <c r="BN78" s="2337"/>
      <c r="BO78" s="2408"/>
      <c r="BP78" s="2408"/>
    </row>
    <row r="79" spans="1:68" s="2125" customFormat="1" ht="39" thickBot="1">
      <c r="A79" s="2672"/>
      <c r="B79" s="2672"/>
      <c r="C79" s="2657"/>
      <c r="D79" s="2107" t="s">
        <v>869</v>
      </c>
      <c r="E79" s="2108" t="s">
        <v>867</v>
      </c>
      <c r="F79" s="2109">
        <v>2</v>
      </c>
      <c r="G79" s="2110" t="s">
        <v>870</v>
      </c>
      <c r="H79" s="2111" t="s">
        <v>855</v>
      </c>
      <c r="I79" s="2025">
        <v>0.047619047619047616</v>
      </c>
      <c r="J79" s="2111" t="s">
        <v>871</v>
      </c>
      <c r="K79" s="2112">
        <v>42036</v>
      </c>
      <c r="L79" s="2112">
        <v>42109</v>
      </c>
      <c r="M79" s="2113"/>
      <c r="N79" s="2113"/>
      <c r="O79" s="2113"/>
      <c r="P79" s="2092">
        <v>1</v>
      </c>
      <c r="Q79" s="2113"/>
      <c r="R79" s="2113"/>
      <c r="S79" s="2113"/>
      <c r="T79" s="2113"/>
      <c r="U79" s="2113"/>
      <c r="V79" s="2113"/>
      <c r="W79" s="2113"/>
      <c r="X79" s="2113"/>
      <c r="Y79" s="2114">
        <f>SUM(M79:X79)</f>
        <v>1</v>
      </c>
      <c r="Z79" s="2115">
        <v>0</v>
      </c>
      <c r="AA79" s="2116" t="s">
        <v>1090</v>
      </c>
      <c r="AB79" s="2117">
        <f t="shared" si="19"/>
        <v>0</v>
      </c>
      <c r="AC79" s="2118">
        <f t="shared" si="20"/>
        <v>0</v>
      </c>
      <c r="AD79" s="2119">
        <v>0</v>
      </c>
      <c r="AE79" s="2120" t="s">
        <v>1090</v>
      </c>
      <c r="AF79" s="2120">
        <f t="shared" si="26"/>
        <v>0</v>
      </c>
      <c r="AG79" s="2120">
        <f t="shared" si="34"/>
        <v>0</v>
      </c>
      <c r="AH79" s="2118"/>
      <c r="AI79" s="2117"/>
      <c r="AJ79" s="2117"/>
      <c r="AK79" s="2117"/>
      <c r="AL79" s="2117"/>
      <c r="AM79" s="2121">
        <f t="shared" si="35"/>
        <v>1</v>
      </c>
      <c r="AN79" s="2122">
        <f t="shared" si="22"/>
        <v>1</v>
      </c>
      <c r="AO79" s="2123"/>
      <c r="AP79" s="2122">
        <f t="shared" si="36"/>
        <v>0</v>
      </c>
      <c r="AQ79" s="2122">
        <f t="shared" si="37"/>
        <v>0</v>
      </c>
      <c r="AR79" s="2122">
        <f t="shared" si="23"/>
        <v>0</v>
      </c>
      <c r="AS79" s="2121"/>
      <c r="AT79" s="2121"/>
      <c r="AU79" s="2121"/>
      <c r="AV79" s="2121"/>
      <c r="AW79" s="2084">
        <f t="shared" si="38"/>
        <v>1</v>
      </c>
      <c r="AX79" s="2085">
        <f t="shared" si="24"/>
        <v>1</v>
      </c>
      <c r="AY79" s="1989">
        <v>1</v>
      </c>
      <c r="AZ79" s="2085">
        <v>1</v>
      </c>
      <c r="BA79" s="1989"/>
      <c r="BB79" s="2085">
        <v>1</v>
      </c>
      <c r="BC79" s="1989"/>
      <c r="BD79" s="1989"/>
      <c r="BE79" s="101" t="s">
        <v>2854</v>
      </c>
      <c r="BF79" s="2124"/>
      <c r="BG79" s="2339">
        <f t="shared" si="39"/>
        <v>1</v>
      </c>
      <c r="BH79" s="2373">
        <f t="shared" si="25"/>
        <v>1</v>
      </c>
      <c r="BI79" s="2337">
        <v>1</v>
      </c>
      <c r="BJ79" s="2373">
        <v>1</v>
      </c>
      <c r="BK79" s="2337"/>
      <c r="BL79" s="2373">
        <v>1</v>
      </c>
      <c r="BM79" s="2337"/>
      <c r="BN79" s="2337"/>
      <c r="BO79" s="2408"/>
      <c r="BP79" s="2409"/>
    </row>
    <row r="80" spans="1:68" s="2125" customFormat="1" ht="228" customHeight="1" thickBot="1">
      <c r="A80" s="2672"/>
      <c r="B80" s="2672"/>
      <c r="C80" s="2657"/>
      <c r="D80" s="2107" t="s">
        <v>872</v>
      </c>
      <c r="E80" s="2110" t="s">
        <v>873</v>
      </c>
      <c r="F80" s="2109">
        <v>4</v>
      </c>
      <c r="G80" s="2126" t="s">
        <v>874</v>
      </c>
      <c r="H80" s="2127" t="s">
        <v>855</v>
      </c>
      <c r="I80" s="2025">
        <v>0.047619047619047616</v>
      </c>
      <c r="J80" s="2128" t="s">
        <v>875</v>
      </c>
      <c r="K80" s="2112">
        <v>42005</v>
      </c>
      <c r="L80" s="2112">
        <v>42063</v>
      </c>
      <c r="M80" s="2129"/>
      <c r="N80" s="2012">
        <v>4</v>
      </c>
      <c r="O80" s="2130"/>
      <c r="P80" s="2129"/>
      <c r="Q80" s="2129"/>
      <c r="R80" s="2129"/>
      <c r="S80" s="2129"/>
      <c r="T80" s="2129"/>
      <c r="U80" s="2129"/>
      <c r="V80" s="2129"/>
      <c r="W80" s="2129"/>
      <c r="X80" s="2130"/>
      <c r="Y80" s="2131">
        <v>4</v>
      </c>
      <c r="Z80" s="2115">
        <v>0</v>
      </c>
      <c r="AA80" s="2116" t="s">
        <v>1090</v>
      </c>
      <c r="AB80" s="2117">
        <f t="shared" si="19"/>
        <v>4</v>
      </c>
      <c r="AC80" s="2118">
        <f t="shared" si="20"/>
        <v>1</v>
      </c>
      <c r="AD80" s="2119">
        <v>3</v>
      </c>
      <c r="AE80" s="2120">
        <f t="shared" si="21"/>
        <v>0.75</v>
      </c>
      <c r="AF80" s="2120">
        <f t="shared" si="26"/>
        <v>0.75</v>
      </c>
      <c r="AG80" s="2120">
        <f t="shared" si="34"/>
        <v>0.75</v>
      </c>
      <c r="AH80" s="2118"/>
      <c r="AI80" s="2117"/>
      <c r="AJ80" s="2117"/>
      <c r="AK80" s="2117"/>
      <c r="AL80" s="2117"/>
      <c r="AM80" s="2121">
        <f t="shared" si="35"/>
        <v>4</v>
      </c>
      <c r="AN80" s="2122">
        <f t="shared" si="22"/>
        <v>1</v>
      </c>
      <c r="AO80" s="2123"/>
      <c r="AP80" s="2122">
        <f t="shared" si="36"/>
        <v>0</v>
      </c>
      <c r="AQ80" s="2122">
        <f t="shared" si="37"/>
        <v>0</v>
      </c>
      <c r="AR80" s="2122">
        <f t="shared" si="23"/>
        <v>0</v>
      </c>
      <c r="AS80" s="2121"/>
      <c r="AT80" s="2121"/>
      <c r="AU80" s="2121"/>
      <c r="AV80" s="2121"/>
      <c r="AW80" s="2084">
        <f t="shared" si="38"/>
        <v>4</v>
      </c>
      <c r="AX80" s="2085">
        <f t="shared" si="24"/>
        <v>1</v>
      </c>
      <c r="AY80" s="1989">
        <v>4</v>
      </c>
      <c r="AZ80" s="2085">
        <v>1</v>
      </c>
      <c r="BA80" s="1989"/>
      <c r="BB80" s="2085">
        <v>1</v>
      </c>
      <c r="BC80" s="1989"/>
      <c r="BD80" s="1989"/>
      <c r="BE80" s="101" t="s">
        <v>2853</v>
      </c>
      <c r="BF80" s="2124"/>
      <c r="BG80" s="2339">
        <f t="shared" si="39"/>
        <v>4</v>
      </c>
      <c r="BH80" s="2373">
        <f t="shared" si="25"/>
        <v>1</v>
      </c>
      <c r="BI80" s="2337">
        <v>4</v>
      </c>
      <c r="BJ80" s="2373">
        <v>1</v>
      </c>
      <c r="BK80" s="2337"/>
      <c r="BL80" s="2373">
        <v>1</v>
      </c>
      <c r="BM80" s="2337"/>
      <c r="BN80" s="2337"/>
      <c r="BO80" s="2408"/>
      <c r="BP80" s="2409"/>
    </row>
    <row r="81" spans="1:68" s="49" customFormat="1" ht="103.5" customHeight="1" thickBot="1">
      <c r="A81" s="2672"/>
      <c r="B81" s="2672"/>
      <c r="C81" s="2657"/>
      <c r="D81" s="103" t="s">
        <v>876</v>
      </c>
      <c r="E81" s="412" t="s">
        <v>54</v>
      </c>
      <c r="F81" s="409" t="s">
        <v>877</v>
      </c>
      <c r="G81" s="412" t="s">
        <v>137</v>
      </c>
      <c r="H81" s="399" t="s">
        <v>2782</v>
      </c>
      <c r="I81" s="106">
        <v>0.047619047619047616</v>
      </c>
      <c r="J81" s="413" t="s">
        <v>878</v>
      </c>
      <c r="K81" s="67">
        <v>42005</v>
      </c>
      <c r="L81" s="67">
        <v>42369</v>
      </c>
      <c r="M81" s="44">
        <v>4</v>
      </c>
      <c r="N81" s="44">
        <v>4</v>
      </c>
      <c r="O81" s="44">
        <v>4</v>
      </c>
      <c r="P81" s="44">
        <v>4</v>
      </c>
      <c r="Q81" s="44">
        <v>4</v>
      </c>
      <c r="R81" s="44">
        <v>4</v>
      </c>
      <c r="S81" s="44">
        <v>4</v>
      </c>
      <c r="T81" s="44">
        <v>4</v>
      </c>
      <c r="U81" s="44">
        <v>4</v>
      </c>
      <c r="V81" s="44">
        <v>4</v>
      </c>
      <c r="W81" s="44">
        <v>4</v>
      </c>
      <c r="X81" s="44">
        <v>4</v>
      </c>
      <c r="Y81" s="45">
        <f>SUM(M81:X81)</f>
        <v>48</v>
      </c>
      <c r="Z81" s="393">
        <v>0</v>
      </c>
      <c r="AA81" s="611" t="s">
        <v>1090</v>
      </c>
      <c r="AB81" s="1378">
        <f t="shared" si="19"/>
        <v>8</v>
      </c>
      <c r="AC81" s="1371">
        <f t="shared" si="20"/>
        <v>1</v>
      </c>
      <c r="AD81" s="1509">
        <v>6</v>
      </c>
      <c r="AE81" s="1311">
        <f t="shared" si="21"/>
        <v>0.75</v>
      </c>
      <c r="AF81" s="1311">
        <f t="shared" si="26"/>
        <v>0.125</v>
      </c>
      <c r="AG81" s="1311">
        <f t="shared" si="34"/>
        <v>0.125</v>
      </c>
      <c r="AH81" s="1371"/>
      <c r="AI81" s="1378"/>
      <c r="AJ81" s="1378"/>
      <c r="AK81" s="1378"/>
      <c r="AL81" s="1378"/>
      <c r="AM81" s="1692">
        <f t="shared" si="35"/>
        <v>16</v>
      </c>
      <c r="AN81" s="1699">
        <f t="shared" si="22"/>
        <v>1</v>
      </c>
      <c r="AO81" s="1697">
        <v>4</v>
      </c>
      <c r="AP81" s="1699">
        <f t="shared" si="36"/>
        <v>0.25</v>
      </c>
      <c r="AQ81" s="1699">
        <f t="shared" si="37"/>
        <v>0.08333333333333333</v>
      </c>
      <c r="AR81" s="1699">
        <f t="shared" si="23"/>
        <v>0.25</v>
      </c>
      <c r="AS81" s="1692"/>
      <c r="AT81" s="1692"/>
      <c r="AU81" s="1692"/>
      <c r="AV81" s="1692" t="s">
        <v>2358</v>
      </c>
      <c r="AW81" s="2084">
        <f t="shared" si="38"/>
        <v>24</v>
      </c>
      <c r="AX81" s="2085">
        <f t="shared" si="24"/>
        <v>1</v>
      </c>
      <c r="AY81" s="1989">
        <v>24</v>
      </c>
      <c r="AZ81" s="2085">
        <v>1</v>
      </c>
      <c r="BA81" s="1989"/>
      <c r="BB81" s="2085">
        <v>0.5</v>
      </c>
      <c r="BC81" s="1989"/>
      <c r="BD81" s="1989"/>
      <c r="BE81" s="101"/>
      <c r="BF81" s="101"/>
      <c r="BG81" s="2339">
        <f t="shared" si="39"/>
        <v>32</v>
      </c>
      <c r="BH81" s="2373">
        <f t="shared" si="25"/>
        <v>1</v>
      </c>
      <c r="BI81" s="2337">
        <v>32</v>
      </c>
      <c r="BJ81" s="2373">
        <v>1</v>
      </c>
      <c r="BK81" s="2337"/>
      <c r="BL81" s="2373">
        <f>BI81/Y81</f>
        <v>0.6666666666666666</v>
      </c>
      <c r="BM81" s="2337"/>
      <c r="BN81" s="2337"/>
      <c r="BO81" s="2408"/>
      <c r="BP81" s="2408"/>
    </row>
    <row r="82" spans="1:68" s="49" customFormat="1" ht="46.5" customHeight="1" thickBot="1">
      <c r="A82" s="2672"/>
      <c r="B82" s="2672"/>
      <c r="C82" s="2656" t="s">
        <v>503</v>
      </c>
      <c r="D82" s="94" t="s">
        <v>504</v>
      </c>
      <c r="E82" s="78" t="s">
        <v>72</v>
      </c>
      <c r="F82" s="2090">
        <v>1</v>
      </c>
      <c r="G82" s="78" t="s">
        <v>73</v>
      </c>
      <c r="H82" s="65" t="s">
        <v>897</v>
      </c>
      <c r="I82" s="106">
        <v>0.047619047619047616</v>
      </c>
      <c r="J82" s="65" t="s">
        <v>134</v>
      </c>
      <c r="K82" s="56">
        <v>42005</v>
      </c>
      <c r="L82" s="67">
        <v>42369</v>
      </c>
      <c r="M82" s="57"/>
      <c r="N82" s="57"/>
      <c r="O82" s="57"/>
      <c r="P82" s="57"/>
      <c r="Q82" s="57"/>
      <c r="R82" s="2092">
        <v>1</v>
      </c>
      <c r="S82" s="57"/>
      <c r="T82" s="57"/>
      <c r="U82" s="57"/>
      <c r="V82" s="57"/>
      <c r="W82" s="57"/>
      <c r="X82" s="57"/>
      <c r="Y82" s="74" t="s">
        <v>100</v>
      </c>
      <c r="Z82" s="393">
        <v>0</v>
      </c>
      <c r="AA82" s="611" t="s">
        <v>1090</v>
      </c>
      <c r="AB82" s="1378">
        <f t="shared" si="19"/>
        <v>0</v>
      </c>
      <c r="AC82" s="1371">
        <f t="shared" si="20"/>
        <v>0</v>
      </c>
      <c r="AD82" s="1509">
        <v>0</v>
      </c>
      <c r="AE82" s="1311" t="s">
        <v>1090</v>
      </c>
      <c r="AF82" s="1311" t="s">
        <v>1090</v>
      </c>
      <c r="AG82" s="1311">
        <v>0</v>
      </c>
      <c r="AH82" s="1371"/>
      <c r="AI82" s="1378"/>
      <c r="AJ82" s="1378"/>
      <c r="AK82" s="1378"/>
      <c r="AL82" s="1378"/>
      <c r="AM82" s="1692">
        <f t="shared" si="35"/>
        <v>0</v>
      </c>
      <c r="AN82" s="1699">
        <f t="shared" si="22"/>
        <v>0</v>
      </c>
      <c r="AO82" s="1697">
        <v>0</v>
      </c>
      <c r="AP82" s="1699" t="s">
        <v>1090</v>
      </c>
      <c r="AQ82" s="1699" t="s">
        <v>1090</v>
      </c>
      <c r="AR82" s="1699" t="str">
        <f t="shared" si="23"/>
        <v>-</v>
      </c>
      <c r="AS82" s="1692"/>
      <c r="AT82" s="1692"/>
      <c r="AU82" s="1692" t="s">
        <v>2359</v>
      </c>
      <c r="AV82" s="1692"/>
      <c r="AW82" s="2084">
        <f t="shared" si="38"/>
        <v>1</v>
      </c>
      <c r="AX82" s="2085">
        <f t="shared" si="24"/>
        <v>1</v>
      </c>
      <c r="AY82" s="1989">
        <v>1</v>
      </c>
      <c r="AZ82" s="2085" t="s">
        <v>1090</v>
      </c>
      <c r="BA82" s="1989"/>
      <c r="BB82" s="2085" t="s">
        <v>1090</v>
      </c>
      <c r="BC82" s="1989"/>
      <c r="BD82" s="1989"/>
      <c r="BE82" s="101"/>
      <c r="BF82" s="101"/>
      <c r="BG82" s="2339">
        <f t="shared" si="39"/>
        <v>1</v>
      </c>
      <c r="BH82" s="2373">
        <f t="shared" si="25"/>
        <v>1</v>
      </c>
      <c r="BI82" s="2337">
        <v>1</v>
      </c>
      <c r="BJ82" s="2373">
        <v>1</v>
      </c>
      <c r="BK82" s="2337"/>
      <c r="BL82" s="2373">
        <v>1</v>
      </c>
      <c r="BM82" s="2337"/>
      <c r="BN82" s="2337"/>
      <c r="BO82" s="2408"/>
      <c r="BP82" s="2408"/>
    </row>
    <row r="83" spans="1:68" s="49" customFormat="1" ht="46.5" customHeight="1" thickBot="1">
      <c r="A83" s="2672"/>
      <c r="B83" s="2672"/>
      <c r="C83" s="2664"/>
      <c r="D83" s="127" t="s">
        <v>135</v>
      </c>
      <c r="E83" s="129" t="s">
        <v>136</v>
      </c>
      <c r="F83" s="2132">
        <v>3</v>
      </c>
      <c r="G83" s="129" t="s">
        <v>137</v>
      </c>
      <c r="H83" s="65" t="s">
        <v>897</v>
      </c>
      <c r="I83" s="106">
        <v>0.047619047619047616</v>
      </c>
      <c r="J83" s="129" t="s">
        <v>138</v>
      </c>
      <c r="K83" s="56">
        <v>42005</v>
      </c>
      <c r="L83" s="67">
        <v>42369</v>
      </c>
      <c r="M83" s="260"/>
      <c r="N83" s="57"/>
      <c r="O83" s="57"/>
      <c r="P83" s="57">
        <v>1</v>
      </c>
      <c r="Q83" s="57"/>
      <c r="R83" s="57"/>
      <c r="S83" s="57"/>
      <c r="T83" s="57"/>
      <c r="U83" s="57">
        <v>1</v>
      </c>
      <c r="V83" s="57"/>
      <c r="W83" s="57"/>
      <c r="X83" s="57">
        <v>1</v>
      </c>
      <c r="Y83" s="45">
        <f>SUM(M83:X83)</f>
        <v>3</v>
      </c>
      <c r="Z83" s="393">
        <v>0</v>
      </c>
      <c r="AA83" s="611" t="s">
        <v>1090</v>
      </c>
      <c r="AB83" s="1378">
        <f t="shared" si="19"/>
        <v>0</v>
      </c>
      <c r="AC83" s="1371">
        <f t="shared" si="20"/>
        <v>0</v>
      </c>
      <c r="AD83" s="1509">
        <v>0</v>
      </c>
      <c r="AE83" s="1311" t="s">
        <v>1090</v>
      </c>
      <c r="AF83" s="1311">
        <f t="shared" si="26"/>
        <v>0</v>
      </c>
      <c r="AG83" s="1311">
        <f t="shared" si="34"/>
        <v>0</v>
      </c>
      <c r="AH83" s="1371"/>
      <c r="AI83" s="1378"/>
      <c r="AJ83" s="1378"/>
      <c r="AK83" s="1378"/>
      <c r="AL83" s="1378"/>
      <c r="AM83" s="1692">
        <f t="shared" si="35"/>
        <v>1</v>
      </c>
      <c r="AN83" s="1699">
        <f t="shared" si="22"/>
        <v>1</v>
      </c>
      <c r="AO83" s="1697">
        <v>0</v>
      </c>
      <c r="AP83" s="1699">
        <f t="shared" si="36"/>
        <v>0</v>
      </c>
      <c r="AQ83" s="1699">
        <f t="shared" si="37"/>
        <v>0</v>
      </c>
      <c r="AR83" s="1699">
        <f t="shared" si="23"/>
        <v>0</v>
      </c>
      <c r="AS83" s="1692"/>
      <c r="AT83" s="1692"/>
      <c r="AU83" s="1692"/>
      <c r="AV83" s="1692" t="s">
        <v>2360</v>
      </c>
      <c r="AW83" s="2084">
        <f t="shared" si="38"/>
        <v>1</v>
      </c>
      <c r="AX83" s="2085">
        <f t="shared" si="24"/>
        <v>1</v>
      </c>
      <c r="AY83" s="1989">
        <v>1</v>
      </c>
      <c r="AZ83" s="2085">
        <v>1</v>
      </c>
      <c r="BA83" s="1989"/>
      <c r="BB83" s="2085">
        <f>AY83/Y83</f>
        <v>0.3333333333333333</v>
      </c>
      <c r="BC83" s="1989"/>
      <c r="BD83" s="1989"/>
      <c r="BE83" s="101"/>
      <c r="BF83" s="101"/>
      <c r="BG83" s="2339">
        <f t="shared" si="39"/>
        <v>1</v>
      </c>
      <c r="BH83" s="2373">
        <f t="shared" si="25"/>
        <v>1</v>
      </c>
      <c r="BI83" s="2337">
        <v>1</v>
      </c>
      <c r="BJ83" s="2373">
        <v>1</v>
      </c>
      <c r="BK83" s="2337"/>
      <c r="BL83" s="2373">
        <f>BI83/Y83</f>
        <v>0.3333333333333333</v>
      </c>
      <c r="BM83" s="2337"/>
      <c r="BN83" s="2337"/>
      <c r="BO83" s="2408"/>
      <c r="BP83" s="2408"/>
    </row>
    <row r="84" spans="1:68" s="49" customFormat="1" ht="45.75" thickBot="1">
      <c r="A84" s="2672"/>
      <c r="B84" s="2672"/>
      <c r="C84" s="2656" t="s">
        <v>758</v>
      </c>
      <c r="D84" s="290" t="s">
        <v>879</v>
      </c>
      <c r="E84" s="150" t="s">
        <v>62</v>
      </c>
      <c r="F84" s="414">
        <v>1</v>
      </c>
      <c r="G84" s="2133" t="s">
        <v>2791</v>
      </c>
      <c r="H84" s="1835" t="s">
        <v>880</v>
      </c>
      <c r="I84" s="106">
        <v>0.047619047619047616</v>
      </c>
      <c r="J84" s="150" t="s">
        <v>881</v>
      </c>
      <c r="K84" s="155">
        <v>42006</v>
      </c>
      <c r="L84" s="259">
        <v>42063</v>
      </c>
      <c r="M84" s="260"/>
      <c r="N84" s="2113">
        <v>0.2</v>
      </c>
      <c r="O84" s="2113">
        <v>0.3</v>
      </c>
      <c r="P84" s="2113">
        <v>0.4</v>
      </c>
      <c r="Q84" s="2113">
        <v>0.55</v>
      </c>
      <c r="R84" s="2113">
        <v>0.75</v>
      </c>
      <c r="S84" s="2113">
        <v>0.9</v>
      </c>
      <c r="T84" s="2113">
        <v>1</v>
      </c>
      <c r="U84" s="57"/>
      <c r="V84" s="57"/>
      <c r="W84" s="57"/>
      <c r="X84" s="57"/>
      <c r="Y84" s="45">
        <f t="shared" si="33"/>
        <v>4.1</v>
      </c>
      <c r="Z84" s="393">
        <v>0</v>
      </c>
      <c r="AA84" s="611" t="s">
        <v>1090</v>
      </c>
      <c r="AB84" s="1378">
        <f t="shared" si="19"/>
        <v>0.2</v>
      </c>
      <c r="AC84" s="1371">
        <f t="shared" si="20"/>
        <v>1</v>
      </c>
      <c r="AD84" s="1509"/>
      <c r="AE84" s="1311">
        <f t="shared" si="21"/>
        <v>0</v>
      </c>
      <c r="AF84" s="1311">
        <f t="shared" si="26"/>
        <v>0</v>
      </c>
      <c r="AG84" s="1311">
        <f t="shared" si="34"/>
        <v>0</v>
      </c>
      <c r="AH84" s="1371"/>
      <c r="AI84" s="1378"/>
      <c r="AJ84" s="1378"/>
      <c r="AK84" s="1378" t="s">
        <v>1825</v>
      </c>
      <c r="AL84" s="1378"/>
      <c r="AM84" s="1692">
        <f t="shared" si="35"/>
        <v>0.9</v>
      </c>
      <c r="AN84" s="1699">
        <f t="shared" si="22"/>
        <v>1</v>
      </c>
      <c r="AO84" s="1697"/>
      <c r="AP84" s="1699">
        <f t="shared" si="36"/>
        <v>0</v>
      </c>
      <c r="AQ84" s="1699">
        <f t="shared" si="37"/>
        <v>0</v>
      </c>
      <c r="AR84" s="1699">
        <f t="shared" si="23"/>
        <v>0</v>
      </c>
      <c r="AS84" s="1692"/>
      <c r="AT84" s="1692"/>
      <c r="AU84" s="1692"/>
      <c r="AV84" s="1692"/>
      <c r="AW84" s="2085">
        <v>0.75</v>
      </c>
      <c r="AX84" s="2085">
        <f t="shared" si="24"/>
        <v>1</v>
      </c>
      <c r="AY84" s="2317">
        <v>0.75</v>
      </c>
      <c r="AZ84" s="2085">
        <v>1</v>
      </c>
      <c r="BA84" s="1989"/>
      <c r="BB84" s="2085">
        <v>0.75</v>
      </c>
      <c r="BC84" s="1989"/>
      <c r="BD84" s="1989"/>
      <c r="BE84" s="101"/>
      <c r="BF84" s="101"/>
      <c r="BG84" s="2339">
        <f t="shared" si="39"/>
        <v>4.1</v>
      </c>
      <c r="BH84" s="2373">
        <f t="shared" si="25"/>
        <v>1</v>
      </c>
      <c r="BI84" s="2410">
        <v>1</v>
      </c>
      <c r="BJ84" s="2373">
        <v>1</v>
      </c>
      <c r="BK84" s="2337"/>
      <c r="BL84" s="2373">
        <v>1</v>
      </c>
      <c r="BM84" s="2337"/>
      <c r="BN84" s="2337"/>
      <c r="BO84" s="2408"/>
      <c r="BP84" s="2408"/>
    </row>
    <row r="85" spans="1:68" s="49" customFormat="1" ht="39" thickBot="1">
      <c r="A85" s="2672"/>
      <c r="B85" s="2672"/>
      <c r="C85" s="2657"/>
      <c r="D85" s="290" t="s">
        <v>882</v>
      </c>
      <c r="E85" s="415" t="s">
        <v>331</v>
      </c>
      <c r="F85" s="258">
        <v>1</v>
      </c>
      <c r="G85" s="416" t="s">
        <v>883</v>
      </c>
      <c r="H85" s="1835" t="s">
        <v>880</v>
      </c>
      <c r="I85" s="106">
        <v>0.047619047619047616</v>
      </c>
      <c r="J85" s="54" t="s">
        <v>884</v>
      </c>
      <c r="K85" s="113">
        <v>42095</v>
      </c>
      <c r="L85" s="155">
        <v>42154</v>
      </c>
      <c r="M85" s="260"/>
      <c r="N85" s="44"/>
      <c r="O85" s="44"/>
      <c r="P85" s="44"/>
      <c r="Q85" s="44"/>
      <c r="R85" s="44"/>
      <c r="S85" s="44"/>
      <c r="T85" s="2012">
        <v>1</v>
      </c>
      <c r="U85" s="44"/>
      <c r="V85" s="44"/>
      <c r="W85" s="44"/>
      <c r="X85" s="44"/>
      <c r="Y85" s="45">
        <f t="shared" si="33"/>
        <v>1</v>
      </c>
      <c r="Z85" s="393">
        <v>0</v>
      </c>
      <c r="AA85" s="611" t="s">
        <v>1090</v>
      </c>
      <c r="AB85" s="1378">
        <f t="shared" si="19"/>
        <v>0</v>
      </c>
      <c r="AC85" s="1371">
        <f t="shared" si="20"/>
        <v>0</v>
      </c>
      <c r="AD85" s="1509">
        <v>0</v>
      </c>
      <c r="AE85" s="1311" t="s">
        <v>1090</v>
      </c>
      <c r="AF85" s="1311">
        <f t="shared" si="26"/>
        <v>0</v>
      </c>
      <c r="AG85" s="1311">
        <f t="shared" si="34"/>
        <v>0</v>
      </c>
      <c r="AH85" s="1371"/>
      <c r="AI85" s="1378"/>
      <c r="AJ85" s="1378"/>
      <c r="AK85" s="1378"/>
      <c r="AL85" s="1378"/>
      <c r="AM85" s="1692">
        <f t="shared" si="35"/>
        <v>0</v>
      </c>
      <c r="AN85" s="1699">
        <f t="shared" si="22"/>
        <v>0</v>
      </c>
      <c r="AO85" s="1697"/>
      <c r="AP85" s="1699" t="s">
        <v>1090</v>
      </c>
      <c r="AQ85" s="1699">
        <f t="shared" si="37"/>
        <v>0</v>
      </c>
      <c r="AR85" s="1699" t="str">
        <f t="shared" si="23"/>
        <v>-</v>
      </c>
      <c r="AS85" s="1692"/>
      <c r="AT85" s="1692"/>
      <c r="AU85" s="1692"/>
      <c r="AV85" s="1692"/>
      <c r="AW85" s="2084">
        <f t="shared" si="38"/>
        <v>0</v>
      </c>
      <c r="AX85" s="2085">
        <f t="shared" si="24"/>
        <v>0</v>
      </c>
      <c r="AY85" s="1989">
        <v>0</v>
      </c>
      <c r="AZ85" s="2085" t="s">
        <v>1090</v>
      </c>
      <c r="BA85" s="1989"/>
      <c r="BB85" s="2085">
        <v>0</v>
      </c>
      <c r="BC85" s="1989"/>
      <c r="BD85" s="1989"/>
      <c r="BE85" s="101"/>
      <c r="BF85" s="101"/>
      <c r="BG85" s="2339">
        <f t="shared" si="39"/>
        <v>1</v>
      </c>
      <c r="BH85" s="2373">
        <f t="shared" si="25"/>
        <v>1</v>
      </c>
      <c r="BI85" s="2337">
        <v>1</v>
      </c>
      <c r="BJ85" s="2373">
        <v>1</v>
      </c>
      <c r="BK85" s="2337"/>
      <c r="BL85" s="2373">
        <v>1</v>
      </c>
      <c r="BM85" s="2337"/>
      <c r="BN85" s="2337"/>
      <c r="BO85" s="2408"/>
      <c r="BP85" s="2408"/>
    </row>
    <row r="86" spans="1:68" s="49" customFormat="1" ht="90" customHeight="1" thickBot="1">
      <c r="A86" s="2672"/>
      <c r="B86" s="2672"/>
      <c r="C86" s="2657"/>
      <c r="D86" s="290" t="s">
        <v>885</v>
      </c>
      <c r="E86" s="415" t="s">
        <v>62</v>
      </c>
      <c r="F86" s="417">
        <v>1</v>
      </c>
      <c r="G86" s="416" t="s">
        <v>886</v>
      </c>
      <c r="H86" s="1835" t="s">
        <v>2161</v>
      </c>
      <c r="I86" s="106">
        <v>0.047619047619047616</v>
      </c>
      <c r="J86" s="54" t="s">
        <v>887</v>
      </c>
      <c r="K86" s="113">
        <v>42156</v>
      </c>
      <c r="L86" s="155">
        <v>42185</v>
      </c>
      <c r="M86" s="260"/>
      <c r="N86" s="44"/>
      <c r="O86" s="44"/>
      <c r="P86" s="44"/>
      <c r="Q86" s="44"/>
      <c r="R86" s="418"/>
      <c r="S86" s="44"/>
      <c r="T86" s="44"/>
      <c r="U86" s="2134">
        <v>0.3</v>
      </c>
      <c r="V86" s="2134"/>
      <c r="W86" s="2134">
        <v>0.7</v>
      </c>
      <c r="X86" s="2134">
        <v>1</v>
      </c>
      <c r="Y86" s="1300">
        <v>1</v>
      </c>
      <c r="Z86" s="393">
        <v>0</v>
      </c>
      <c r="AA86" s="611" t="s">
        <v>1090</v>
      </c>
      <c r="AB86" s="1378">
        <f t="shared" si="19"/>
        <v>0</v>
      </c>
      <c r="AC86" s="1371">
        <f t="shared" si="20"/>
        <v>0</v>
      </c>
      <c r="AD86" s="1509">
        <v>0</v>
      </c>
      <c r="AE86" s="1311" t="s">
        <v>1090</v>
      </c>
      <c r="AF86" s="1311">
        <f t="shared" si="26"/>
        <v>0</v>
      </c>
      <c r="AG86" s="1311">
        <f t="shared" si="34"/>
        <v>0</v>
      </c>
      <c r="AH86" s="1371"/>
      <c r="AI86" s="1378"/>
      <c r="AJ86" s="1378"/>
      <c r="AK86" s="1378"/>
      <c r="AL86" s="1378"/>
      <c r="AM86" s="1692">
        <f t="shared" si="35"/>
        <v>0</v>
      </c>
      <c r="AN86" s="1699">
        <f t="shared" si="22"/>
        <v>0</v>
      </c>
      <c r="AO86" s="1697"/>
      <c r="AP86" s="1699" t="s">
        <v>1090</v>
      </c>
      <c r="AQ86" s="1699">
        <f t="shared" si="37"/>
        <v>0</v>
      </c>
      <c r="AR86" s="1699">
        <v>0</v>
      </c>
      <c r="AS86" s="1692"/>
      <c r="AT86" s="1692"/>
      <c r="AU86" s="1692"/>
      <c r="AV86" s="1692"/>
      <c r="AW86" s="2084">
        <f t="shared" si="38"/>
        <v>0</v>
      </c>
      <c r="AX86" s="2085">
        <f t="shared" si="24"/>
        <v>0</v>
      </c>
      <c r="AY86" s="1989">
        <v>0</v>
      </c>
      <c r="AZ86" s="2085" t="s">
        <v>1090</v>
      </c>
      <c r="BA86" s="1989"/>
      <c r="BB86" s="2085">
        <v>0</v>
      </c>
      <c r="BC86" s="1989"/>
      <c r="BD86" s="1989"/>
      <c r="BE86" s="101"/>
      <c r="BF86" s="101"/>
      <c r="BG86" s="2339">
        <f t="shared" si="39"/>
        <v>0</v>
      </c>
      <c r="BH86" s="2373">
        <f t="shared" si="25"/>
        <v>0</v>
      </c>
      <c r="BI86" s="2410">
        <v>0.3</v>
      </c>
      <c r="BJ86" s="2373">
        <v>1</v>
      </c>
      <c r="BK86" s="2337"/>
      <c r="BL86" s="2373">
        <v>0.3</v>
      </c>
      <c r="BM86" s="2337"/>
      <c r="BN86" s="2337"/>
      <c r="BO86" s="2408"/>
      <c r="BP86" s="2408"/>
    </row>
    <row r="87" spans="1:68" s="49" customFormat="1" ht="39" thickBot="1">
      <c r="A87" s="2672"/>
      <c r="B87" s="2672"/>
      <c r="C87" s="2657"/>
      <c r="D87" s="290" t="s">
        <v>888</v>
      </c>
      <c r="E87" s="415" t="s">
        <v>62</v>
      </c>
      <c r="F87" s="417">
        <v>1</v>
      </c>
      <c r="G87" s="416" t="s">
        <v>2792</v>
      </c>
      <c r="H87" s="1835" t="s">
        <v>2161</v>
      </c>
      <c r="I87" s="106">
        <v>0.047619047619047616</v>
      </c>
      <c r="J87" s="54" t="s">
        <v>889</v>
      </c>
      <c r="K87" s="113">
        <v>42186</v>
      </c>
      <c r="L87" s="155">
        <v>42277</v>
      </c>
      <c r="M87" s="260"/>
      <c r="N87" s="44"/>
      <c r="O87" s="44"/>
      <c r="P87" s="44"/>
      <c r="Q87" s="44"/>
      <c r="R87" s="44"/>
      <c r="S87" s="44"/>
      <c r="T87" s="44"/>
      <c r="U87" s="2134">
        <v>0.3</v>
      </c>
      <c r="V87" s="2134"/>
      <c r="W87" s="2134">
        <v>0.7</v>
      </c>
      <c r="X87" s="2134">
        <v>1</v>
      </c>
      <c r="Y87" s="1300">
        <v>1</v>
      </c>
      <c r="Z87" s="393">
        <v>0</v>
      </c>
      <c r="AA87" s="611" t="s">
        <v>1090</v>
      </c>
      <c r="AB87" s="1378">
        <f t="shared" si="19"/>
        <v>0</v>
      </c>
      <c r="AC87" s="1371">
        <f t="shared" si="20"/>
        <v>0</v>
      </c>
      <c r="AD87" s="1509">
        <v>0</v>
      </c>
      <c r="AE87" s="1311" t="s">
        <v>1090</v>
      </c>
      <c r="AF87" s="1311">
        <f t="shared" si="26"/>
        <v>0</v>
      </c>
      <c r="AG87" s="1311">
        <f t="shared" si="34"/>
        <v>0</v>
      </c>
      <c r="AH87" s="1371"/>
      <c r="AI87" s="1378"/>
      <c r="AJ87" s="1378"/>
      <c r="AK87" s="1378"/>
      <c r="AL87" s="1378"/>
      <c r="AM87" s="1692">
        <f t="shared" si="35"/>
        <v>0</v>
      </c>
      <c r="AN87" s="1699">
        <f t="shared" si="22"/>
        <v>0</v>
      </c>
      <c r="AO87" s="1697"/>
      <c r="AP87" s="1699" t="s">
        <v>1090</v>
      </c>
      <c r="AQ87" s="1699">
        <f t="shared" si="37"/>
        <v>0</v>
      </c>
      <c r="AR87" s="1699">
        <v>0</v>
      </c>
      <c r="AS87" s="1692"/>
      <c r="AT87" s="1692"/>
      <c r="AU87" s="1692"/>
      <c r="AV87" s="1692"/>
      <c r="AW87" s="2084">
        <f t="shared" si="38"/>
        <v>0</v>
      </c>
      <c r="AX87" s="2085">
        <f t="shared" si="24"/>
        <v>0</v>
      </c>
      <c r="AY87" s="1989">
        <v>0</v>
      </c>
      <c r="AZ87" s="2085" t="s">
        <v>1090</v>
      </c>
      <c r="BA87" s="1989"/>
      <c r="BB87" s="2085">
        <v>0</v>
      </c>
      <c r="BC87" s="1989"/>
      <c r="BD87" s="1989"/>
      <c r="BE87" s="101"/>
      <c r="BF87" s="101"/>
      <c r="BG87" s="2339">
        <f t="shared" si="39"/>
        <v>0</v>
      </c>
      <c r="BH87" s="2373">
        <f t="shared" si="25"/>
        <v>0</v>
      </c>
      <c r="BI87" s="2410">
        <v>0.3</v>
      </c>
      <c r="BJ87" s="2373">
        <v>1</v>
      </c>
      <c r="BK87" s="2337"/>
      <c r="BL87" s="2373">
        <v>0.3</v>
      </c>
      <c r="BM87" s="2337"/>
      <c r="BN87" s="2337"/>
      <c r="BO87" s="2408"/>
      <c r="BP87" s="2408"/>
    </row>
    <row r="88" spans="1:68" s="49" customFormat="1" ht="36.75" thickBot="1">
      <c r="A88" s="2672"/>
      <c r="B88" s="2672"/>
      <c r="C88" s="2657"/>
      <c r="D88" s="290" t="s">
        <v>890</v>
      </c>
      <c r="E88" s="415" t="s">
        <v>152</v>
      </c>
      <c r="F88" s="258">
        <v>12</v>
      </c>
      <c r="G88" s="416" t="s">
        <v>891</v>
      </c>
      <c r="H88" s="1835" t="s">
        <v>880</v>
      </c>
      <c r="I88" s="106">
        <v>0.047619047619047616</v>
      </c>
      <c r="J88" s="54" t="s">
        <v>892</v>
      </c>
      <c r="K88" s="113">
        <v>42006</v>
      </c>
      <c r="L88" s="155">
        <v>42369</v>
      </c>
      <c r="M88" s="419">
        <v>1</v>
      </c>
      <c r="N88" s="419">
        <v>1</v>
      </c>
      <c r="O88" s="419">
        <v>1</v>
      </c>
      <c r="P88" s="419">
        <v>1</v>
      </c>
      <c r="Q88" s="419">
        <v>1</v>
      </c>
      <c r="R88" s="419">
        <v>1</v>
      </c>
      <c r="S88" s="419">
        <v>1</v>
      </c>
      <c r="T88" s="419">
        <v>1</v>
      </c>
      <c r="U88" s="419">
        <v>1</v>
      </c>
      <c r="V88" s="419">
        <v>1</v>
      </c>
      <c r="W88" s="419">
        <v>1</v>
      </c>
      <c r="X88" s="419">
        <v>1</v>
      </c>
      <c r="Y88" s="45">
        <f t="shared" si="33"/>
        <v>12</v>
      </c>
      <c r="Z88" s="393">
        <v>0</v>
      </c>
      <c r="AA88" s="611" t="s">
        <v>1090</v>
      </c>
      <c r="AB88" s="1378">
        <f t="shared" si="19"/>
        <v>2</v>
      </c>
      <c r="AC88" s="1371">
        <f t="shared" si="20"/>
        <v>1</v>
      </c>
      <c r="AD88" s="1509">
        <v>2</v>
      </c>
      <c r="AE88" s="1311">
        <f t="shared" si="21"/>
        <v>1</v>
      </c>
      <c r="AF88" s="1311">
        <f t="shared" si="26"/>
        <v>0.16666666666666666</v>
      </c>
      <c r="AG88" s="1311">
        <f t="shared" si="34"/>
        <v>0.16666666666666666</v>
      </c>
      <c r="AH88" s="1371"/>
      <c r="AI88" s="1378"/>
      <c r="AJ88" s="1378"/>
      <c r="AK88" s="1378" t="s">
        <v>1826</v>
      </c>
      <c r="AL88" s="1378"/>
      <c r="AM88" s="1692">
        <f t="shared" si="35"/>
        <v>4</v>
      </c>
      <c r="AN88" s="1699">
        <f t="shared" si="22"/>
        <v>1</v>
      </c>
      <c r="AO88" s="1697"/>
      <c r="AP88" s="1699">
        <f t="shared" si="36"/>
        <v>0</v>
      </c>
      <c r="AQ88" s="1699">
        <f t="shared" si="37"/>
        <v>0</v>
      </c>
      <c r="AR88" s="1699">
        <f t="shared" si="23"/>
        <v>0</v>
      </c>
      <c r="AS88" s="1692"/>
      <c r="AT88" s="1692"/>
      <c r="AU88" s="1692"/>
      <c r="AV88" s="1692"/>
      <c r="AW88" s="2084">
        <f t="shared" si="38"/>
        <v>6</v>
      </c>
      <c r="AX88" s="2085">
        <f t="shared" si="24"/>
        <v>1</v>
      </c>
      <c r="AY88" s="1989">
        <v>6</v>
      </c>
      <c r="AZ88" s="2085">
        <v>1</v>
      </c>
      <c r="BA88" s="1989"/>
      <c r="BB88" s="2085">
        <v>0.5</v>
      </c>
      <c r="BC88" s="1989"/>
      <c r="BD88" s="1989"/>
      <c r="BE88" s="101"/>
      <c r="BF88" s="101"/>
      <c r="BG88" s="2339">
        <f t="shared" si="39"/>
        <v>8</v>
      </c>
      <c r="BH88" s="2373">
        <f t="shared" si="25"/>
        <v>1</v>
      </c>
      <c r="BI88" s="2337">
        <v>8</v>
      </c>
      <c r="BJ88" s="2373">
        <v>1</v>
      </c>
      <c r="BK88" s="2337"/>
      <c r="BL88" s="2373">
        <f>BI88/Y88</f>
        <v>0.6666666666666666</v>
      </c>
      <c r="BM88" s="2337"/>
      <c r="BN88" s="2337"/>
      <c r="BO88" s="2408"/>
      <c r="BP88" s="2408"/>
    </row>
    <row r="89" spans="1:68" s="49" customFormat="1" ht="26.25" thickBot="1">
      <c r="A89" s="2672"/>
      <c r="B89" s="2672"/>
      <c r="C89" s="2657"/>
      <c r="D89" s="290" t="s">
        <v>893</v>
      </c>
      <c r="E89" s="261" t="s">
        <v>894</v>
      </c>
      <c r="F89" s="105">
        <v>4</v>
      </c>
      <c r="G89" s="261" t="s">
        <v>895</v>
      </c>
      <c r="H89" s="1835" t="s">
        <v>880</v>
      </c>
      <c r="I89" s="106">
        <v>0.047619047619047616</v>
      </c>
      <c r="J89" s="262" t="s">
        <v>896</v>
      </c>
      <c r="K89" s="43">
        <v>42006</v>
      </c>
      <c r="L89" s="43">
        <v>42369</v>
      </c>
      <c r="M89" s="44"/>
      <c r="N89" s="44"/>
      <c r="O89" s="44">
        <v>1</v>
      </c>
      <c r="P89" s="44"/>
      <c r="Q89" s="44">
        <v>1</v>
      </c>
      <c r="R89" s="44"/>
      <c r="S89" s="2012">
        <v>1</v>
      </c>
      <c r="T89" s="44"/>
      <c r="U89" s="2012"/>
      <c r="V89" s="2012">
        <v>1</v>
      </c>
      <c r="W89" s="2012"/>
      <c r="X89" s="44" t="s">
        <v>1607</v>
      </c>
      <c r="Y89" s="45">
        <f t="shared" si="33"/>
        <v>4</v>
      </c>
      <c r="Z89" s="393">
        <v>0</v>
      </c>
      <c r="AA89" s="611" t="s">
        <v>1090</v>
      </c>
      <c r="AB89" s="1378">
        <f t="shared" si="19"/>
        <v>0</v>
      </c>
      <c r="AC89" s="1371">
        <f t="shared" si="20"/>
        <v>0</v>
      </c>
      <c r="AD89" s="1509">
        <v>0</v>
      </c>
      <c r="AE89" s="1311" t="s">
        <v>1090</v>
      </c>
      <c r="AF89" s="1311">
        <f t="shared" si="26"/>
        <v>0</v>
      </c>
      <c r="AG89" s="1311">
        <f t="shared" si="34"/>
        <v>0</v>
      </c>
      <c r="AH89" s="1371"/>
      <c r="AI89" s="1378"/>
      <c r="AJ89" s="1378"/>
      <c r="AK89" s="1378"/>
      <c r="AL89" s="1378"/>
      <c r="AM89" s="1692">
        <f t="shared" si="35"/>
        <v>1</v>
      </c>
      <c r="AN89" s="1699">
        <f t="shared" si="22"/>
        <v>1</v>
      </c>
      <c r="AO89" s="1697"/>
      <c r="AP89" s="1699">
        <f t="shared" si="36"/>
        <v>0</v>
      </c>
      <c r="AQ89" s="1699">
        <f t="shared" si="37"/>
        <v>0</v>
      </c>
      <c r="AR89" s="1699">
        <f t="shared" si="23"/>
        <v>0</v>
      </c>
      <c r="AS89" s="1692"/>
      <c r="AT89" s="1692"/>
      <c r="AU89" s="1692"/>
      <c r="AV89" s="1692"/>
      <c r="AW89" s="2084">
        <f t="shared" si="38"/>
        <v>2</v>
      </c>
      <c r="AX89" s="2085">
        <f t="shared" si="24"/>
        <v>1</v>
      </c>
      <c r="AY89" s="1989">
        <v>2</v>
      </c>
      <c r="AZ89" s="2085">
        <v>1</v>
      </c>
      <c r="BA89" s="1989"/>
      <c r="BB89" s="2085">
        <v>0.5</v>
      </c>
      <c r="BC89" s="1989"/>
      <c r="BD89" s="1989"/>
      <c r="BE89" s="101"/>
      <c r="BF89" s="101"/>
      <c r="BG89" s="2339">
        <f t="shared" si="39"/>
        <v>3</v>
      </c>
      <c r="BH89" s="2373">
        <f t="shared" si="25"/>
        <v>1</v>
      </c>
      <c r="BI89" s="2337">
        <v>3</v>
      </c>
      <c r="BJ89" s="2373">
        <v>1</v>
      </c>
      <c r="BK89" s="2337"/>
      <c r="BL89" s="2373">
        <f>BI89/Y89</f>
        <v>0.75</v>
      </c>
      <c r="BM89" s="2337"/>
      <c r="BN89" s="2337"/>
      <c r="BO89" s="2408"/>
      <c r="BP89" s="2408"/>
    </row>
    <row r="90" spans="1:68" s="49" customFormat="1" ht="26.25" thickBot="1">
      <c r="A90" s="2672"/>
      <c r="B90" s="2672"/>
      <c r="C90" s="2657"/>
      <c r="D90" s="290" t="s">
        <v>151</v>
      </c>
      <c r="E90" s="261" t="s">
        <v>152</v>
      </c>
      <c r="F90" s="105">
        <v>12</v>
      </c>
      <c r="G90" s="261" t="s">
        <v>153</v>
      </c>
      <c r="H90" s="54" t="s">
        <v>897</v>
      </c>
      <c r="I90" s="106">
        <v>0.047619047619047616</v>
      </c>
      <c r="J90" s="262" t="s">
        <v>154</v>
      </c>
      <c r="K90" s="113">
        <v>42006</v>
      </c>
      <c r="L90" s="420">
        <v>42369</v>
      </c>
      <c r="M90" s="44">
        <v>1</v>
      </c>
      <c r="N90" s="44">
        <v>1</v>
      </c>
      <c r="O90" s="44">
        <v>1</v>
      </c>
      <c r="P90" s="44">
        <v>1</v>
      </c>
      <c r="Q90" s="44">
        <v>1</v>
      </c>
      <c r="R90" s="44">
        <v>1</v>
      </c>
      <c r="S90" s="44">
        <v>1</v>
      </c>
      <c r="T90" s="44">
        <v>1</v>
      </c>
      <c r="U90" s="44">
        <v>1</v>
      </c>
      <c r="V90" s="44">
        <v>1</v>
      </c>
      <c r="W90" s="44">
        <v>1</v>
      </c>
      <c r="X90" s="44">
        <v>1</v>
      </c>
      <c r="Y90" s="45">
        <f t="shared" si="33"/>
        <v>12</v>
      </c>
      <c r="Z90" s="393">
        <v>0</v>
      </c>
      <c r="AA90" s="611" t="s">
        <v>1090</v>
      </c>
      <c r="AB90" s="1378">
        <f t="shared" si="19"/>
        <v>2</v>
      </c>
      <c r="AC90" s="1371">
        <f t="shared" si="20"/>
        <v>1</v>
      </c>
      <c r="AD90" s="1509">
        <v>2</v>
      </c>
      <c r="AE90" s="1311">
        <f t="shared" si="21"/>
        <v>1</v>
      </c>
      <c r="AF90" s="1311">
        <f t="shared" si="26"/>
        <v>0.16666666666666666</v>
      </c>
      <c r="AG90" s="1311">
        <f>AF90</f>
        <v>0.16666666666666666</v>
      </c>
      <c r="AH90" s="1371"/>
      <c r="AI90" s="1378"/>
      <c r="AJ90" s="1378"/>
      <c r="AK90" s="1378"/>
      <c r="AL90" s="1378"/>
      <c r="AM90" s="1692">
        <f t="shared" si="35"/>
        <v>4</v>
      </c>
      <c r="AN90" s="1699">
        <f t="shared" si="22"/>
        <v>1</v>
      </c>
      <c r="AO90" s="1697">
        <v>2</v>
      </c>
      <c r="AP90" s="1699">
        <f t="shared" si="36"/>
        <v>0.5</v>
      </c>
      <c r="AQ90" s="1699">
        <f t="shared" si="37"/>
        <v>0.16666666666666666</v>
      </c>
      <c r="AR90" s="1699">
        <f t="shared" si="23"/>
        <v>0.5</v>
      </c>
      <c r="AS90" s="1692"/>
      <c r="AT90" s="1692"/>
      <c r="AU90" s="1692"/>
      <c r="AV90" s="1692"/>
      <c r="AW90" s="2084">
        <f t="shared" si="38"/>
        <v>6</v>
      </c>
      <c r="AX90" s="2085">
        <f t="shared" si="24"/>
        <v>1</v>
      </c>
      <c r="AY90" s="1989">
        <v>6</v>
      </c>
      <c r="AZ90" s="2085">
        <v>1</v>
      </c>
      <c r="BA90" s="1989"/>
      <c r="BB90" s="2085">
        <v>0.5</v>
      </c>
      <c r="BC90" s="1989"/>
      <c r="BD90" s="1989"/>
      <c r="BE90" s="101"/>
      <c r="BF90" s="101"/>
      <c r="BG90" s="2339">
        <f t="shared" si="39"/>
        <v>8</v>
      </c>
      <c r="BH90" s="2373">
        <f t="shared" si="25"/>
        <v>1</v>
      </c>
      <c r="BI90" s="2337">
        <v>8</v>
      </c>
      <c r="BJ90" s="2373">
        <v>1</v>
      </c>
      <c r="BK90" s="2337"/>
      <c r="BL90" s="2373">
        <f>BI90/Y90</f>
        <v>0.6666666666666666</v>
      </c>
      <c r="BM90" s="2337"/>
      <c r="BN90" s="2337"/>
      <c r="BO90" s="2408"/>
      <c r="BP90" s="2408"/>
    </row>
    <row r="91" spans="1:68" s="49" customFormat="1" ht="39" thickBot="1">
      <c r="A91" s="2672"/>
      <c r="B91" s="2672"/>
      <c r="C91" s="2657"/>
      <c r="D91" s="290" t="s">
        <v>898</v>
      </c>
      <c r="E91" s="261" t="s">
        <v>152</v>
      </c>
      <c r="F91" s="105">
        <v>12</v>
      </c>
      <c r="G91" s="261" t="s">
        <v>153</v>
      </c>
      <c r="H91" s="54" t="s">
        <v>897</v>
      </c>
      <c r="I91" s="106">
        <v>0.047619047619047616</v>
      </c>
      <c r="J91" s="262" t="s">
        <v>154</v>
      </c>
      <c r="K91" s="113">
        <v>42006</v>
      </c>
      <c r="L91" s="420">
        <v>42369</v>
      </c>
      <c r="M91" s="44">
        <v>1</v>
      </c>
      <c r="N91" s="44">
        <v>1</v>
      </c>
      <c r="O91" s="44">
        <v>1</v>
      </c>
      <c r="P91" s="44">
        <v>1</v>
      </c>
      <c r="Q91" s="44">
        <v>1</v>
      </c>
      <c r="R91" s="44">
        <v>1</v>
      </c>
      <c r="S91" s="44">
        <v>1</v>
      </c>
      <c r="T91" s="44">
        <v>1</v>
      </c>
      <c r="U91" s="44">
        <v>1</v>
      </c>
      <c r="V91" s="44">
        <v>1</v>
      </c>
      <c r="W91" s="44">
        <v>1</v>
      </c>
      <c r="X91" s="44">
        <v>1</v>
      </c>
      <c r="Y91" s="45">
        <f t="shared" si="33"/>
        <v>12</v>
      </c>
      <c r="Z91" s="393">
        <v>0</v>
      </c>
      <c r="AA91" s="611" t="s">
        <v>1090</v>
      </c>
      <c r="AB91" s="1378">
        <f t="shared" si="19"/>
        <v>2</v>
      </c>
      <c r="AC91" s="1371">
        <f t="shared" si="20"/>
        <v>1</v>
      </c>
      <c r="AD91" s="1509">
        <v>2</v>
      </c>
      <c r="AE91" s="1311">
        <f t="shared" si="21"/>
        <v>1</v>
      </c>
      <c r="AF91" s="1311">
        <f t="shared" si="26"/>
        <v>0.16666666666666666</v>
      </c>
      <c r="AG91" s="1311">
        <f aca="true" t="shared" si="40" ref="AG91:AG93">AF91</f>
        <v>0.16666666666666666</v>
      </c>
      <c r="AH91" s="1371"/>
      <c r="AI91" s="1378"/>
      <c r="AJ91" s="1378"/>
      <c r="AK91" s="1378"/>
      <c r="AL91" s="1378"/>
      <c r="AM91" s="1692">
        <f t="shared" si="35"/>
        <v>4</v>
      </c>
      <c r="AN91" s="1699">
        <f t="shared" si="22"/>
        <v>1</v>
      </c>
      <c r="AO91" s="1697">
        <v>2</v>
      </c>
      <c r="AP91" s="1699">
        <f t="shared" si="36"/>
        <v>0.5</v>
      </c>
      <c r="AQ91" s="1699">
        <f t="shared" si="37"/>
        <v>0.16666666666666666</v>
      </c>
      <c r="AR91" s="1699">
        <f t="shared" si="23"/>
        <v>0.5</v>
      </c>
      <c r="AS91" s="1692"/>
      <c r="AT91" s="1692"/>
      <c r="AU91" s="1692"/>
      <c r="AV91" s="1692"/>
      <c r="AW91" s="2084">
        <f t="shared" si="38"/>
        <v>6</v>
      </c>
      <c r="AX91" s="2085">
        <f t="shared" si="24"/>
        <v>1</v>
      </c>
      <c r="AY91" s="1989">
        <v>6</v>
      </c>
      <c r="AZ91" s="2085">
        <v>1</v>
      </c>
      <c r="BA91" s="1989"/>
      <c r="BB91" s="2085">
        <v>0.5</v>
      </c>
      <c r="BC91" s="1989"/>
      <c r="BD91" s="1989"/>
      <c r="BE91" s="101"/>
      <c r="BF91" s="101"/>
      <c r="BG91" s="2339">
        <f t="shared" si="39"/>
        <v>8</v>
      </c>
      <c r="BH91" s="2373">
        <f t="shared" si="25"/>
        <v>1</v>
      </c>
      <c r="BI91" s="2337">
        <v>8</v>
      </c>
      <c r="BJ91" s="2373">
        <v>1</v>
      </c>
      <c r="BK91" s="2337"/>
      <c r="BL91" s="2373">
        <f>BI91/Y91</f>
        <v>0.6666666666666666</v>
      </c>
      <c r="BM91" s="2337"/>
      <c r="BN91" s="2337"/>
      <c r="BO91" s="2408"/>
      <c r="BP91" s="2408"/>
    </row>
    <row r="92" spans="1:68" s="49" customFormat="1" ht="67.5" customHeight="1" thickBot="1">
      <c r="A92" s="2672"/>
      <c r="B92" s="2672"/>
      <c r="C92" s="2657"/>
      <c r="D92" s="290" t="s">
        <v>156</v>
      </c>
      <c r="E92" s="261" t="s">
        <v>157</v>
      </c>
      <c r="F92" s="2135">
        <v>1</v>
      </c>
      <c r="G92" s="261" t="s">
        <v>2793</v>
      </c>
      <c r="H92" s="54" t="s">
        <v>897</v>
      </c>
      <c r="I92" s="106">
        <v>0.047619047619047616</v>
      </c>
      <c r="J92" s="262" t="s">
        <v>158</v>
      </c>
      <c r="K92" s="113">
        <v>42006</v>
      </c>
      <c r="L92" s="420">
        <v>42369</v>
      </c>
      <c r="M92" s="2134">
        <v>1</v>
      </c>
      <c r="N92" s="2134">
        <v>1</v>
      </c>
      <c r="O92" s="2134">
        <v>1</v>
      </c>
      <c r="P92" s="2134">
        <v>1</v>
      </c>
      <c r="Q92" s="2134">
        <v>1</v>
      </c>
      <c r="R92" s="2134">
        <v>1</v>
      </c>
      <c r="S92" s="2134">
        <v>1</v>
      </c>
      <c r="T92" s="2134">
        <v>1</v>
      </c>
      <c r="U92" s="2134">
        <v>1</v>
      </c>
      <c r="V92" s="2134">
        <v>1</v>
      </c>
      <c r="W92" s="2134">
        <v>1</v>
      </c>
      <c r="X92" s="2134">
        <v>1</v>
      </c>
      <c r="Y92" s="2136">
        <v>1</v>
      </c>
      <c r="Z92" s="393">
        <v>0</v>
      </c>
      <c r="AA92" s="611" t="s">
        <v>1090</v>
      </c>
      <c r="AB92" s="1378">
        <f t="shared" si="19"/>
        <v>2</v>
      </c>
      <c r="AC92" s="1371">
        <v>0</v>
      </c>
      <c r="AD92" s="1509">
        <v>0</v>
      </c>
      <c r="AE92" s="1311" t="s">
        <v>1090</v>
      </c>
      <c r="AF92" s="1311" t="s">
        <v>1090</v>
      </c>
      <c r="AG92" s="1311">
        <v>0</v>
      </c>
      <c r="AH92" s="1371"/>
      <c r="AI92" s="1378"/>
      <c r="AJ92" s="1378"/>
      <c r="AK92" s="1378"/>
      <c r="AL92" s="1378"/>
      <c r="AM92" s="1692">
        <f t="shared" si="35"/>
        <v>4</v>
      </c>
      <c r="AN92" s="1699">
        <f t="shared" si="22"/>
        <v>1</v>
      </c>
      <c r="AO92" s="1697"/>
      <c r="AP92" s="1699" t="s">
        <v>1090</v>
      </c>
      <c r="AQ92" s="1699" t="s">
        <v>1090</v>
      </c>
      <c r="AR92" s="1699" t="str">
        <f t="shared" si="23"/>
        <v>-</v>
      </c>
      <c r="AS92" s="1692"/>
      <c r="AT92" s="1692"/>
      <c r="AU92" s="1692" t="s">
        <v>2361</v>
      </c>
      <c r="AV92" s="1692"/>
      <c r="AW92" s="2084">
        <f t="shared" si="38"/>
        <v>6</v>
      </c>
      <c r="AX92" s="2085">
        <f t="shared" si="24"/>
        <v>1</v>
      </c>
      <c r="AY92" s="1989">
        <v>6</v>
      </c>
      <c r="AZ92" s="2085">
        <v>1</v>
      </c>
      <c r="BA92" s="1989"/>
      <c r="BB92" s="2085">
        <v>0.5</v>
      </c>
      <c r="BC92" s="1989"/>
      <c r="BD92" s="1989"/>
      <c r="BE92" s="101"/>
      <c r="BF92" s="101"/>
      <c r="BG92" s="2339">
        <f t="shared" si="39"/>
        <v>8</v>
      </c>
      <c r="BH92" s="2373">
        <f t="shared" si="25"/>
        <v>1</v>
      </c>
      <c r="BI92" s="2410">
        <v>1</v>
      </c>
      <c r="BJ92" s="2373">
        <v>1</v>
      </c>
      <c r="BK92" s="2337"/>
      <c r="BL92" s="2373" t="s">
        <v>1090</v>
      </c>
      <c r="BM92" s="2337"/>
      <c r="BN92" s="2337"/>
      <c r="BO92" s="2408"/>
      <c r="BP92" s="2408"/>
    </row>
    <row r="93" spans="1:68" s="49" customFormat="1" ht="42" customHeight="1" thickBot="1">
      <c r="A93" s="2672"/>
      <c r="B93" s="2672"/>
      <c r="C93" s="2657"/>
      <c r="D93" s="2010" t="s">
        <v>2535</v>
      </c>
      <c r="E93" s="261" t="s">
        <v>148</v>
      </c>
      <c r="F93" s="105">
        <v>19</v>
      </c>
      <c r="G93" s="261" t="s">
        <v>2536</v>
      </c>
      <c r="H93" s="2011" t="s">
        <v>2794</v>
      </c>
      <c r="I93" s="106">
        <v>0.0454545454545454</v>
      </c>
      <c r="J93" s="261" t="s">
        <v>2538</v>
      </c>
      <c r="K93" s="113">
        <v>42006</v>
      </c>
      <c r="L93" s="420">
        <v>42186</v>
      </c>
      <c r="M93" s="44"/>
      <c r="N93" s="44"/>
      <c r="O93" s="44"/>
      <c r="P93" s="44"/>
      <c r="Q93" s="44"/>
      <c r="R93" s="44"/>
      <c r="S93" s="44"/>
      <c r="T93" s="2012">
        <v>19</v>
      </c>
      <c r="U93" s="44"/>
      <c r="V93" s="44"/>
      <c r="W93" s="44"/>
      <c r="X93" s="44"/>
      <c r="Y93" s="45">
        <f>SUM(M93:X93)</f>
        <v>19</v>
      </c>
      <c r="Z93" s="393">
        <v>0</v>
      </c>
      <c r="AA93" s="611" t="s">
        <v>1090</v>
      </c>
      <c r="AB93" s="1378">
        <f t="shared" si="19"/>
        <v>0</v>
      </c>
      <c r="AC93" s="1371">
        <f t="shared" si="20"/>
        <v>0</v>
      </c>
      <c r="AD93" s="1509">
        <v>0</v>
      </c>
      <c r="AE93" s="1311" t="s">
        <v>1090</v>
      </c>
      <c r="AF93" s="1311">
        <f t="shared" si="26"/>
        <v>0</v>
      </c>
      <c r="AG93" s="1311">
        <f t="shared" si="40"/>
        <v>0</v>
      </c>
      <c r="AH93" s="1371"/>
      <c r="AI93" s="1378"/>
      <c r="AJ93" s="1378"/>
      <c r="AK93" s="1378"/>
      <c r="AL93" s="1378"/>
      <c r="AM93" s="1692">
        <f t="shared" si="35"/>
        <v>0</v>
      </c>
      <c r="AN93" s="1699">
        <f t="shared" si="22"/>
        <v>0</v>
      </c>
      <c r="AO93" s="1697"/>
      <c r="AP93" s="1699" t="e">
        <f t="shared" si="36"/>
        <v>#DIV/0!</v>
      </c>
      <c r="AQ93" s="1699">
        <f t="shared" si="37"/>
        <v>0</v>
      </c>
      <c r="AR93" s="1699" t="str">
        <f t="shared" si="23"/>
        <v>-</v>
      </c>
      <c r="AS93" s="1692"/>
      <c r="AT93" s="1692"/>
      <c r="AU93" s="1692"/>
      <c r="AV93" s="1692"/>
      <c r="AW93" s="2084">
        <f t="shared" si="38"/>
        <v>0</v>
      </c>
      <c r="AX93" s="2085">
        <f t="shared" si="24"/>
        <v>0</v>
      </c>
      <c r="AY93" s="1989">
        <v>0</v>
      </c>
      <c r="AZ93" s="2085" t="s">
        <v>1090</v>
      </c>
      <c r="BA93" s="1989"/>
      <c r="BB93" s="2085">
        <v>0</v>
      </c>
      <c r="BC93" s="1989"/>
      <c r="BD93" s="1989"/>
      <c r="BE93" s="101"/>
      <c r="BF93" s="101"/>
      <c r="BG93" s="2339">
        <f t="shared" si="39"/>
        <v>19</v>
      </c>
      <c r="BH93" s="2373">
        <f t="shared" si="25"/>
        <v>1</v>
      </c>
      <c r="BI93" s="2337">
        <v>17</v>
      </c>
      <c r="BJ93" s="2373">
        <f>BI93/BG93</f>
        <v>0.8947368421052632</v>
      </c>
      <c r="BK93" s="2337"/>
      <c r="BL93" s="2373">
        <f>BI93/Y93</f>
        <v>0.8947368421052632</v>
      </c>
      <c r="BM93" s="2337"/>
      <c r="BN93" s="2337"/>
      <c r="BO93" s="2408"/>
      <c r="BP93" s="2408"/>
    </row>
    <row r="94" spans="1:68" s="49" customFormat="1" ht="56.25" customHeight="1" thickBot="1">
      <c r="A94" s="2013"/>
      <c r="B94" s="2014"/>
      <c r="C94" s="1981"/>
      <c r="D94" s="2010" t="s">
        <v>2539</v>
      </c>
      <c r="E94" s="2022" t="s">
        <v>2540</v>
      </c>
      <c r="F94" s="2023">
        <v>57</v>
      </c>
      <c r="G94" s="2024" t="s">
        <v>2541</v>
      </c>
      <c r="H94" s="2015" t="s">
        <v>2794</v>
      </c>
      <c r="I94" s="2025">
        <v>0.0454545454545454</v>
      </c>
      <c r="J94" s="2024" t="s">
        <v>2542</v>
      </c>
      <c r="K94" s="2026">
        <v>42186</v>
      </c>
      <c r="L94" s="2027">
        <v>42369</v>
      </c>
      <c r="M94" s="2016"/>
      <c r="N94" s="2016"/>
      <c r="O94" s="2016"/>
      <c r="P94" s="2016"/>
      <c r="Q94" s="2016"/>
      <c r="R94" s="2016"/>
      <c r="S94" s="2016">
        <v>19</v>
      </c>
      <c r="T94" s="2016"/>
      <c r="U94" s="2016"/>
      <c r="V94" s="2016">
        <v>19</v>
      </c>
      <c r="W94" s="2016"/>
      <c r="X94" s="2016">
        <v>19</v>
      </c>
      <c r="Y94" s="45">
        <f>SUM(M94:X94)</f>
        <v>57</v>
      </c>
      <c r="Z94" s="2017"/>
      <c r="AA94" s="587"/>
      <c r="AB94" s="2018"/>
      <c r="AC94" s="2019"/>
      <c r="AD94" s="2020"/>
      <c r="AE94" s="1311"/>
      <c r="AF94" s="1311"/>
      <c r="AG94" s="2021"/>
      <c r="AH94" s="2019"/>
      <c r="AI94" s="2018"/>
      <c r="AJ94" s="2018"/>
      <c r="AK94" s="2018"/>
      <c r="AL94" s="2018"/>
      <c r="AM94" s="1692"/>
      <c r="AN94" s="1699"/>
      <c r="AO94" s="1697"/>
      <c r="AP94" s="1699"/>
      <c r="AQ94" s="1699"/>
      <c r="AR94" s="1699"/>
      <c r="AS94" s="1692"/>
      <c r="AT94" s="1692"/>
      <c r="AU94" s="1692"/>
      <c r="AV94" s="1692"/>
      <c r="AW94" s="2084">
        <f t="shared" si="38"/>
        <v>0</v>
      </c>
      <c r="AX94" s="2085">
        <f t="shared" si="24"/>
        <v>0</v>
      </c>
      <c r="AY94" s="1989">
        <v>0</v>
      </c>
      <c r="AZ94" s="2085" t="s">
        <v>1090</v>
      </c>
      <c r="BA94" s="1989"/>
      <c r="BB94" s="2085">
        <v>0</v>
      </c>
      <c r="BC94" s="1989"/>
      <c r="BD94" s="1989"/>
      <c r="BE94" s="101"/>
      <c r="BF94" s="101"/>
      <c r="BG94" s="2339">
        <f t="shared" si="39"/>
        <v>19</v>
      </c>
      <c r="BH94" s="2373">
        <f t="shared" si="25"/>
        <v>1</v>
      </c>
      <c r="BI94" s="2337">
        <v>17</v>
      </c>
      <c r="BJ94" s="2373">
        <f>BI94/BG94</f>
        <v>0.8947368421052632</v>
      </c>
      <c r="BK94" s="2337"/>
      <c r="BL94" s="2373">
        <f>BI94/Y94</f>
        <v>0.2982456140350877</v>
      </c>
      <c r="BM94" s="2337"/>
      <c r="BN94" s="2337"/>
      <c r="BO94" s="2408"/>
      <c r="BP94" s="2408"/>
    </row>
    <row r="95" spans="1:68" s="606" customFormat="1" ht="20.1" customHeight="1" thickBot="1">
      <c r="A95" s="2652" t="s">
        <v>130</v>
      </c>
      <c r="B95" s="2653"/>
      <c r="C95" s="2653"/>
      <c r="D95" s="2654"/>
      <c r="E95" s="1757"/>
      <c r="F95" s="1757"/>
      <c r="G95" s="1757"/>
      <c r="H95" s="266"/>
      <c r="I95" s="93">
        <f>+SUM(I73:I93)</f>
        <v>0.9978354978354982</v>
      </c>
      <c r="J95" s="1757"/>
      <c r="K95" s="1757"/>
      <c r="L95" s="1757"/>
      <c r="M95" s="1757"/>
      <c r="N95" s="1757"/>
      <c r="O95" s="1757"/>
      <c r="P95" s="1757"/>
      <c r="Q95" s="1757"/>
      <c r="R95" s="1757"/>
      <c r="S95" s="1757"/>
      <c r="T95" s="1757"/>
      <c r="U95" s="1757"/>
      <c r="V95" s="1757"/>
      <c r="W95" s="1757"/>
      <c r="X95" s="1757"/>
      <c r="Y95" s="87"/>
      <c r="Z95" s="218">
        <f>SUM(Z80:Z93)</f>
        <v>0</v>
      </c>
      <c r="AA95" s="1758"/>
      <c r="AB95" s="1560"/>
      <c r="AC95" s="1569">
        <f>AVERAGEIF(AC73:AC93,"&gt;0")</f>
        <v>1</v>
      </c>
      <c r="AD95" s="1561"/>
      <c r="AE95" s="1501">
        <f>AVERAGE(AE73:AE93)</f>
        <v>0.8636363636363636</v>
      </c>
      <c r="AF95" s="1501" t="e">
        <f>AD95/Y95</f>
        <v>#DIV/0!</v>
      </c>
      <c r="AG95" s="1562">
        <f>AVERAGE(AG73:AG93)</f>
        <v>0.2638571428571429</v>
      </c>
      <c r="AH95" s="1521"/>
      <c r="AI95" s="1758"/>
      <c r="AJ95" s="1758"/>
      <c r="AK95" s="1758"/>
      <c r="AL95" s="1758"/>
      <c r="AM95" s="1834"/>
      <c r="AN95" s="1913">
        <f>AVERAGEIF(AN87:AN93,"&gt;0")</f>
        <v>1</v>
      </c>
      <c r="AO95" s="1834"/>
      <c r="AP95" s="1945" t="e">
        <f>AVERAGE(AP73:AP93)</f>
        <v>#DIV/0!</v>
      </c>
      <c r="AQ95" s="1834"/>
      <c r="AR95" s="1945">
        <f>AVERAGE(AR73:AR93)</f>
        <v>0.10824548192771084</v>
      </c>
      <c r="AS95" s="1834"/>
      <c r="AT95" s="1834"/>
      <c r="AU95" s="1834"/>
      <c r="AV95" s="1834"/>
      <c r="AW95" s="1325"/>
      <c r="AX95" s="1878">
        <v>1</v>
      </c>
      <c r="AY95" s="1325"/>
      <c r="AZ95" s="1877">
        <f>AVERAGE(AZ73:AZ94)</f>
        <v>1</v>
      </c>
      <c r="BA95" s="1325"/>
      <c r="BB95" s="1879">
        <f>AVERAGE(BB73:BB94)</f>
        <v>0.5357142857142857</v>
      </c>
      <c r="BC95" s="1325"/>
      <c r="BD95" s="1325"/>
      <c r="BE95" s="1325"/>
      <c r="BF95" s="1325"/>
      <c r="BG95" s="1325"/>
      <c r="BH95" s="1878">
        <v>1</v>
      </c>
      <c r="BI95" s="1325"/>
      <c r="BJ95" s="2205">
        <f>AVERAGE(BJ73:BJ94)</f>
        <v>0.9904306220095694</v>
      </c>
      <c r="BK95" s="1325"/>
      <c r="BL95" s="2205">
        <f>AVERAGE(BL73:BL94)</f>
        <v>0.7715705931495405</v>
      </c>
      <c r="BM95" s="1325"/>
      <c r="BN95" s="1325"/>
      <c r="BO95" s="1325"/>
      <c r="BP95" s="1325"/>
    </row>
    <row r="96" spans="1:68" s="49" customFormat="1" ht="86.25" customHeight="1" thickBot="1">
      <c r="A96" s="2658">
        <v>3</v>
      </c>
      <c r="B96" s="2658" t="s">
        <v>159</v>
      </c>
      <c r="C96" s="2850" t="s">
        <v>196</v>
      </c>
      <c r="D96" s="421" t="s">
        <v>2158</v>
      </c>
      <c r="E96" s="53" t="s">
        <v>899</v>
      </c>
      <c r="F96" s="422">
        <v>1</v>
      </c>
      <c r="G96" s="53" t="s">
        <v>900</v>
      </c>
      <c r="H96" s="2138" t="s">
        <v>2801</v>
      </c>
      <c r="I96" s="251">
        <v>0.33333333333333337</v>
      </c>
      <c r="J96" s="65" t="s">
        <v>901</v>
      </c>
      <c r="K96" s="67">
        <v>42005</v>
      </c>
      <c r="L96" s="67">
        <v>42076</v>
      </c>
      <c r="M96" s="114"/>
      <c r="N96" s="147"/>
      <c r="O96" s="147">
        <v>1</v>
      </c>
      <c r="P96" s="147"/>
      <c r="Q96" s="147"/>
      <c r="R96" s="147"/>
      <c r="S96" s="147"/>
      <c r="T96" s="147"/>
      <c r="U96" s="147"/>
      <c r="V96" s="147"/>
      <c r="W96" s="147"/>
      <c r="X96" s="147"/>
      <c r="Y96" s="387">
        <f>SUM(M96:X96)</f>
        <v>1</v>
      </c>
      <c r="Z96" s="393">
        <v>0</v>
      </c>
      <c r="AA96" s="611" t="s">
        <v>1090</v>
      </c>
      <c r="AB96" s="1378">
        <f t="shared" si="19"/>
        <v>0</v>
      </c>
      <c r="AC96" s="1371">
        <f t="shared" si="20"/>
        <v>0</v>
      </c>
      <c r="AD96" s="1509">
        <v>0</v>
      </c>
      <c r="AE96" s="1311" t="s">
        <v>1090</v>
      </c>
      <c r="AF96" s="1311">
        <f t="shared" si="26"/>
        <v>0</v>
      </c>
      <c r="AG96" s="1311">
        <f>AF96</f>
        <v>0</v>
      </c>
      <c r="AH96" s="1371"/>
      <c r="AI96" s="1378"/>
      <c r="AJ96" s="1378"/>
      <c r="AK96" s="1378"/>
      <c r="AL96" s="1378"/>
      <c r="AM96" s="1692">
        <f>SUM(M96:P96)</f>
        <v>1</v>
      </c>
      <c r="AN96" s="1699">
        <f t="shared" si="22"/>
        <v>1</v>
      </c>
      <c r="AO96" s="1692"/>
      <c r="AP96" s="1699">
        <f>AO96/AM96</f>
        <v>0</v>
      </c>
      <c r="AQ96" s="1699">
        <f>AO96/Y96</f>
        <v>0</v>
      </c>
      <c r="AR96" s="1699">
        <f t="shared" si="23"/>
        <v>0</v>
      </c>
      <c r="AS96" s="1692"/>
      <c r="AT96" s="1692"/>
      <c r="AU96" s="1692" t="s">
        <v>2362</v>
      </c>
      <c r="AV96" s="1692"/>
      <c r="AW96" s="2084">
        <f>SUM(M96:R96)</f>
        <v>1</v>
      </c>
      <c r="AX96" s="2085">
        <f t="shared" si="24"/>
        <v>1</v>
      </c>
      <c r="AY96" s="1989">
        <v>1</v>
      </c>
      <c r="AZ96" s="1990">
        <v>1</v>
      </c>
      <c r="BA96" s="1989"/>
      <c r="BB96" s="2085">
        <v>1</v>
      </c>
      <c r="BC96" s="1989"/>
      <c r="BD96" s="1989"/>
      <c r="BE96" s="101"/>
      <c r="BF96" s="101"/>
      <c r="BG96" s="2339">
        <f>SUM(M96:T96)</f>
        <v>1</v>
      </c>
      <c r="BH96" s="2373">
        <f t="shared" si="25"/>
        <v>1</v>
      </c>
      <c r="BI96" s="2337">
        <v>1</v>
      </c>
      <c r="BJ96" s="2336">
        <v>1</v>
      </c>
      <c r="BK96" s="2337"/>
      <c r="BL96" s="2373">
        <v>1</v>
      </c>
      <c r="BM96" s="2337"/>
      <c r="BN96" s="2337"/>
      <c r="BO96" s="2408"/>
      <c r="BP96" s="2408"/>
    </row>
    <row r="97" spans="1:68" s="49" customFormat="1" ht="72.75" customHeight="1" thickBot="1">
      <c r="A97" s="2655"/>
      <c r="B97" s="2655"/>
      <c r="C97" s="2850"/>
      <c r="D97" s="421" t="s">
        <v>902</v>
      </c>
      <c r="E97" s="53" t="s">
        <v>903</v>
      </c>
      <c r="F97" s="422">
        <v>1</v>
      </c>
      <c r="G97" s="53" t="s">
        <v>904</v>
      </c>
      <c r="H97" s="2138" t="s">
        <v>2802</v>
      </c>
      <c r="I97" s="251">
        <v>0.33333333333333337</v>
      </c>
      <c r="J97" s="65" t="s">
        <v>905</v>
      </c>
      <c r="K97" s="56">
        <v>42079</v>
      </c>
      <c r="L97" s="56">
        <v>42097</v>
      </c>
      <c r="M97" s="57"/>
      <c r="N97" s="57"/>
      <c r="O97" s="57"/>
      <c r="P97" s="2092"/>
      <c r="Q97" s="57"/>
      <c r="R97" s="57"/>
      <c r="S97" s="57"/>
      <c r="T97" s="57"/>
      <c r="U97" s="2092">
        <v>1</v>
      </c>
      <c r="V97" s="57"/>
      <c r="W97" s="57"/>
      <c r="X97" s="57"/>
      <c r="Y97" s="387">
        <f>SUM(M97:X97)</f>
        <v>1</v>
      </c>
      <c r="Z97" s="393">
        <v>0</v>
      </c>
      <c r="AA97" s="611" t="s">
        <v>1090</v>
      </c>
      <c r="AB97" s="1378">
        <f t="shared" si="19"/>
        <v>0</v>
      </c>
      <c r="AC97" s="1371">
        <f t="shared" si="20"/>
        <v>0</v>
      </c>
      <c r="AD97" s="1509">
        <v>0</v>
      </c>
      <c r="AE97" s="1311" t="s">
        <v>1090</v>
      </c>
      <c r="AF97" s="1311">
        <f t="shared" si="26"/>
        <v>0</v>
      </c>
      <c r="AG97" s="1311">
        <f aca="true" t="shared" si="41" ref="AG97:AG98">AF97</f>
        <v>0</v>
      </c>
      <c r="AH97" s="1371"/>
      <c r="AI97" s="1378"/>
      <c r="AJ97" s="1378"/>
      <c r="AK97" s="1378"/>
      <c r="AL97" s="1378"/>
      <c r="AM97" s="1692">
        <f aca="true" t="shared" si="42" ref="AM97:AM98">SUM(M97:P97)</f>
        <v>0</v>
      </c>
      <c r="AN97" s="1699">
        <f t="shared" si="22"/>
        <v>0</v>
      </c>
      <c r="AO97" s="1692"/>
      <c r="AP97" s="1699" t="e">
        <f aca="true" t="shared" si="43" ref="AP97">AO97/AM97</f>
        <v>#DIV/0!</v>
      </c>
      <c r="AQ97" s="1699">
        <f aca="true" t="shared" si="44" ref="AQ97:AQ98">AO97/Y97</f>
        <v>0</v>
      </c>
      <c r="AR97" s="1699" t="str">
        <f t="shared" si="23"/>
        <v>-</v>
      </c>
      <c r="AS97" s="1692"/>
      <c r="AT97" s="1692"/>
      <c r="AU97" s="1692" t="s">
        <v>2362</v>
      </c>
      <c r="AV97" s="1692"/>
      <c r="AW97" s="2084">
        <f aca="true" t="shared" si="45" ref="AW97:AW98">SUM(M97:R97)</f>
        <v>0</v>
      </c>
      <c r="AX97" s="2085">
        <f t="shared" si="24"/>
        <v>0</v>
      </c>
      <c r="AY97" s="1989">
        <v>0</v>
      </c>
      <c r="AZ97" s="1990" t="s">
        <v>1090</v>
      </c>
      <c r="BA97" s="1989"/>
      <c r="BB97" s="2085">
        <v>0</v>
      </c>
      <c r="BC97" s="1989"/>
      <c r="BD97" s="1989"/>
      <c r="BE97" s="101"/>
      <c r="BF97" s="101"/>
      <c r="BG97" s="2339">
        <f aca="true" t="shared" si="46" ref="BG97:BG98">SUM(M97:T97)</f>
        <v>0</v>
      </c>
      <c r="BH97" s="2373">
        <f t="shared" si="25"/>
        <v>0</v>
      </c>
      <c r="BI97" s="2337" t="s">
        <v>1090</v>
      </c>
      <c r="BJ97" s="2336" t="s">
        <v>1090</v>
      </c>
      <c r="BK97" s="2337"/>
      <c r="BL97" s="2373">
        <v>0</v>
      </c>
      <c r="BM97" s="2337"/>
      <c r="BN97" s="2337"/>
      <c r="BO97" s="2408"/>
      <c r="BP97" s="2408"/>
    </row>
    <row r="98" spans="1:68" s="606" customFormat="1" ht="30.75" customHeight="1" thickBot="1">
      <c r="A98" s="2655"/>
      <c r="B98" s="2655"/>
      <c r="C98" s="2850"/>
      <c r="D98" s="423" t="s">
        <v>906</v>
      </c>
      <c r="E98" s="216" t="s">
        <v>231</v>
      </c>
      <c r="F98" s="424">
        <v>2</v>
      </c>
      <c r="G98" s="216" t="s">
        <v>907</v>
      </c>
      <c r="H98" s="2138" t="s">
        <v>2802</v>
      </c>
      <c r="I98" s="251">
        <v>0.33333333333333337</v>
      </c>
      <c r="J98" s="55" t="s">
        <v>908</v>
      </c>
      <c r="K98" s="56">
        <v>42005</v>
      </c>
      <c r="L98" s="56">
        <v>42369</v>
      </c>
      <c r="M98" s="57"/>
      <c r="N98" s="57"/>
      <c r="O98" s="57"/>
      <c r="P98" s="57"/>
      <c r="Q98" s="57"/>
      <c r="R98" s="57">
        <v>1</v>
      </c>
      <c r="S98" s="57"/>
      <c r="T98" s="57"/>
      <c r="U98" s="57"/>
      <c r="V98" s="57"/>
      <c r="W98" s="57"/>
      <c r="X98" s="57">
        <v>1</v>
      </c>
      <c r="Y98" s="387">
        <f>SUM(M98:X98)</f>
        <v>2</v>
      </c>
      <c r="Z98" s="393">
        <v>0</v>
      </c>
      <c r="AA98" s="611" t="s">
        <v>1090</v>
      </c>
      <c r="AB98" s="1378">
        <f t="shared" si="19"/>
        <v>0</v>
      </c>
      <c r="AC98" s="1371">
        <f t="shared" si="20"/>
        <v>0</v>
      </c>
      <c r="AD98" s="1510">
        <v>0</v>
      </c>
      <c r="AE98" s="1311" t="s">
        <v>1090</v>
      </c>
      <c r="AF98" s="1311">
        <f t="shared" si="26"/>
        <v>0</v>
      </c>
      <c r="AG98" s="1311">
        <f t="shared" si="41"/>
        <v>0</v>
      </c>
      <c r="AH98" s="48"/>
      <c r="AI98" s="1368"/>
      <c r="AJ98" s="1368"/>
      <c r="AK98" s="1378"/>
      <c r="AL98" s="1368"/>
      <c r="AM98" s="1692">
        <f t="shared" si="42"/>
        <v>0</v>
      </c>
      <c r="AN98" s="1699">
        <f t="shared" si="22"/>
        <v>0</v>
      </c>
      <c r="AO98" s="1692"/>
      <c r="AP98" s="1699" t="s">
        <v>1090</v>
      </c>
      <c r="AQ98" s="1699">
        <f t="shared" si="44"/>
        <v>0</v>
      </c>
      <c r="AR98" s="1699">
        <v>0</v>
      </c>
      <c r="AS98" s="1692"/>
      <c r="AT98" s="1692"/>
      <c r="AU98" s="1692" t="s">
        <v>2363</v>
      </c>
      <c r="AV98" s="1692"/>
      <c r="AW98" s="2084">
        <f t="shared" si="45"/>
        <v>1</v>
      </c>
      <c r="AX98" s="2085">
        <f t="shared" si="24"/>
        <v>1</v>
      </c>
      <c r="AY98" s="1989">
        <v>1</v>
      </c>
      <c r="AZ98" s="1990">
        <v>1</v>
      </c>
      <c r="BA98" s="1989"/>
      <c r="BB98" s="2085">
        <v>0.5</v>
      </c>
      <c r="BC98" s="1989"/>
      <c r="BD98" s="1989"/>
      <c r="BE98" s="101"/>
      <c r="BF98" s="101"/>
      <c r="BG98" s="2339">
        <f t="shared" si="46"/>
        <v>1</v>
      </c>
      <c r="BH98" s="2373">
        <f t="shared" si="25"/>
        <v>1</v>
      </c>
      <c r="BI98" s="2337">
        <v>1</v>
      </c>
      <c r="BJ98" s="2336">
        <v>1</v>
      </c>
      <c r="BK98" s="2337"/>
      <c r="BL98" s="2373">
        <v>0.5</v>
      </c>
      <c r="BM98" s="2337"/>
      <c r="BN98" s="2337"/>
      <c r="BO98" s="2408"/>
      <c r="BP98" s="2408"/>
    </row>
    <row r="99" spans="1:68" s="606" customFormat="1" ht="20.1" customHeight="1" thickBot="1">
      <c r="A99" s="2652" t="s">
        <v>130</v>
      </c>
      <c r="B99" s="2653"/>
      <c r="C99" s="2653"/>
      <c r="D99" s="2654"/>
      <c r="E99" s="425"/>
      <c r="F99" s="425"/>
      <c r="G99" s="2653"/>
      <c r="H99" s="2653"/>
      <c r="I99" s="86">
        <f>+SUM(I96:I98)</f>
        <v>1</v>
      </c>
      <c r="J99" s="86"/>
      <c r="K99" s="1757"/>
      <c r="L99" s="1757"/>
      <c r="M99" s="1757"/>
      <c r="N99" s="1757"/>
      <c r="O99" s="1757"/>
      <c r="P99" s="1757"/>
      <c r="Q99" s="1757"/>
      <c r="R99" s="1757"/>
      <c r="S99" s="1757"/>
      <c r="T99" s="1757"/>
      <c r="U99" s="426"/>
      <c r="V99" s="426"/>
      <c r="W99" s="426"/>
      <c r="X99" s="426"/>
      <c r="Y99" s="87"/>
      <c r="Z99" s="427">
        <f>SUM(Z96:Z98)</f>
        <v>0</v>
      </c>
      <c r="AA99" s="1758"/>
      <c r="AB99" s="1318"/>
      <c r="AC99" s="1570" t="s">
        <v>1090</v>
      </c>
      <c r="AD99" s="1558"/>
      <c r="AE99" s="1317" t="s">
        <v>1090</v>
      </c>
      <c r="AF99" s="1317" t="e">
        <f t="shared" si="26"/>
        <v>#DIV/0!</v>
      </c>
      <c r="AG99" s="1319">
        <f>AVERAGE(AG96:AG98)</f>
        <v>0</v>
      </c>
      <c r="AH99" s="428"/>
      <c r="AI99" s="428"/>
      <c r="AJ99" s="428"/>
      <c r="AK99" s="428"/>
      <c r="AL99" s="428"/>
      <c r="AM99" s="428"/>
      <c r="AN99" s="1912">
        <f>AVERAGEIF(AN91:AN98,"&gt;0")</f>
        <v>1</v>
      </c>
      <c r="AO99" s="428"/>
      <c r="AP99" s="1946" t="e">
        <f>AVERAGE(AP96:AP98)</f>
        <v>#DIV/0!</v>
      </c>
      <c r="AQ99" s="428"/>
      <c r="AR99" s="1946">
        <f>AVERAGE(AR96:AR98)</f>
        <v>0</v>
      </c>
      <c r="AS99" s="428"/>
      <c r="AT99" s="428"/>
      <c r="AU99" s="428"/>
      <c r="AV99" s="428"/>
      <c r="AW99" s="428"/>
      <c r="AX99" s="1912">
        <v>1</v>
      </c>
      <c r="AY99" s="428"/>
      <c r="AZ99" s="1946">
        <f>AVERAGE(AZ96:AZ98)</f>
        <v>1</v>
      </c>
      <c r="BA99" s="428"/>
      <c r="BB99" s="1946">
        <f>AVERAGE(BB96:BB98)</f>
        <v>0.5</v>
      </c>
      <c r="BC99" s="428"/>
      <c r="BD99" s="428"/>
      <c r="BE99" s="428"/>
      <c r="BF99" s="428"/>
      <c r="BG99" s="428"/>
      <c r="BH99" s="1912">
        <v>1</v>
      </c>
      <c r="BI99" s="428"/>
      <c r="BJ99" s="1946">
        <f>AVERAGE(BJ96:BJ98)</f>
        <v>1</v>
      </c>
      <c r="BK99" s="428"/>
      <c r="BL99" s="1946">
        <f>AVERAGE(BL96:BL98)</f>
        <v>0.5</v>
      </c>
      <c r="BM99" s="428"/>
      <c r="BN99" s="428"/>
      <c r="BO99" s="428"/>
      <c r="BP99" s="428"/>
    </row>
    <row r="100" spans="1:68" s="49" customFormat="1" ht="26.25" thickBot="1">
      <c r="A100" s="2658">
        <v>4</v>
      </c>
      <c r="B100" s="2658" t="s">
        <v>228</v>
      </c>
      <c r="C100" s="2656" t="s">
        <v>229</v>
      </c>
      <c r="D100" s="1768" t="s">
        <v>909</v>
      </c>
      <c r="E100" s="429" t="s">
        <v>231</v>
      </c>
      <c r="F100" s="430">
        <v>2</v>
      </c>
      <c r="G100" s="431" t="s">
        <v>232</v>
      </c>
      <c r="H100" s="1835" t="s">
        <v>910</v>
      </c>
      <c r="I100" s="432">
        <f>100%/18</f>
        <v>0.05555555555555555</v>
      </c>
      <c r="J100" s="433" t="s">
        <v>911</v>
      </c>
      <c r="K100" s="434">
        <v>42006</v>
      </c>
      <c r="L100" s="434">
        <v>42034</v>
      </c>
      <c r="M100" s="357">
        <v>2</v>
      </c>
      <c r="N100" s="357"/>
      <c r="O100" s="357"/>
      <c r="P100" s="357"/>
      <c r="Q100" s="357"/>
      <c r="R100" s="357"/>
      <c r="S100" s="357"/>
      <c r="T100" s="357"/>
      <c r="U100" s="358"/>
      <c r="V100" s="358"/>
      <c r="W100" s="358"/>
      <c r="X100" s="358"/>
      <c r="Y100" s="121">
        <f>SUM(M100:X100)</f>
        <v>2</v>
      </c>
      <c r="Z100" s="393">
        <v>0</v>
      </c>
      <c r="AA100" s="611" t="s">
        <v>1090</v>
      </c>
      <c r="AB100" s="1378">
        <f t="shared" si="19"/>
        <v>2</v>
      </c>
      <c r="AC100" s="1371">
        <f t="shared" si="20"/>
        <v>1</v>
      </c>
      <c r="AD100" s="1509">
        <v>2</v>
      </c>
      <c r="AE100" s="1311">
        <f t="shared" si="21"/>
        <v>1</v>
      </c>
      <c r="AF100" s="1311">
        <f t="shared" si="26"/>
        <v>1</v>
      </c>
      <c r="AG100" s="1311">
        <f>AF100</f>
        <v>1</v>
      </c>
      <c r="AH100" s="1371"/>
      <c r="AI100" s="1378"/>
      <c r="AJ100" s="1378"/>
      <c r="AK100" s="1378" t="s">
        <v>1827</v>
      </c>
      <c r="AL100" s="1378"/>
      <c r="AM100" s="1692">
        <f>SUM(M100:P100)</f>
        <v>2</v>
      </c>
      <c r="AN100" s="1699">
        <f t="shared" si="22"/>
        <v>1</v>
      </c>
      <c r="AO100" s="1692">
        <v>2</v>
      </c>
      <c r="AP100" s="1699">
        <f>AO100/AM100</f>
        <v>1</v>
      </c>
      <c r="AQ100" s="1699">
        <f>AO100/Y100</f>
        <v>1</v>
      </c>
      <c r="AR100" s="1699">
        <f t="shared" si="23"/>
        <v>1</v>
      </c>
      <c r="AS100" s="1692"/>
      <c r="AT100" s="1692"/>
      <c r="AU100" s="1692"/>
      <c r="AV100" s="1692"/>
      <c r="AW100" s="2084">
        <f>SUM(M100:R100)</f>
        <v>2</v>
      </c>
      <c r="AX100" s="2085">
        <f t="shared" si="24"/>
        <v>1</v>
      </c>
      <c r="AY100" s="1989">
        <v>2</v>
      </c>
      <c r="AZ100" s="1990">
        <v>1</v>
      </c>
      <c r="BA100" s="1989"/>
      <c r="BB100" s="2085">
        <v>1</v>
      </c>
      <c r="BC100" s="1989"/>
      <c r="BD100" s="1989"/>
      <c r="BE100" s="101"/>
      <c r="BF100" s="101"/>
      <c r="BG100" s="2339">
        <f>SUM(M100:T100)</f>
        <v>2</v>
      </c>
      <c r="BH100" s="2373">
        <f t="shared" si="25"/>
        <v>1</v>
      </c>
      <c r="BI100" s="2337">
        <v>2</v>
      </c>
      <c r="BJ100" s="2336">
        <v>1</v>
      </c>
      <c r="BK100" s="2337"/>
      <c r="BL100" s="2373">
        <v>1</v>
      </c>
      <c r="BM100" s="2337"/>
      <c r="BN100" s="2337"/>
      <c r="BO100" s="2408"/>
      <c r="BP100" s="2408"/>
    </row>
    <row r="101" spans="1:68" s="49" customFormat="1" ht="39" thickBot="1">
      <c r="A101" s="2655"/>
      <c r="B101" s="2655"/>
      <c r="C101" s="2657"/>
      <c r="D101" s="250" t="s">
        <v>912</v>
      </c>
      <c r="E101" s="150" t="s">
        <v>62</v>
      </c>
      <c r="F101" s="435">
        <v>1</v>
      </c>
      <c r="G101" s="53" t="s">
        <v>257</v>
      </c>
      <c r="H101" s="1835" t="s">
        <v>910</v>
      </c>
      <c r="I101" s="432">
        <f aca="true" t="shared" si="47" ref="I101:I117">100%/18</f>
        <v>0.05555555555555555</v>
      </c>
      <c r="J101" s="65" t="s">
        <v>913</v>
      </c>
      <c r="K101" s="56">
        <v>42020</v>
      </c>
      <c r="L101" s="56">
        <v>42369</v>
      </c>
      <c r="M101" s="57"/>
      <c r="N101" s="57"/>
      <c r="O101" s="410">
        <v>0.25</v>
      </c>
      <c r="P101" s="57"/>
      <c r="Q101" s="57"/>
      <c r="R101" s="410">
        <v>0.5</v>
      </c>
      <c r="S101" s="57"/>
      <c r="T101" s="57"/>
      <c r="U101" s="294">
        <v>0.75</v>
      </c>
      <c r="V101" s="294"/>
      <c r="W101" s="294"/>
      <c r="X101" s="294">
        <v>1</v>
      </c>
      <c r="Y101" s="436">
        <v>1</v>
      </c>
      <c r="Z101" s="393">
        <v>0</v>
      </c>
      <c r="AA101" s="611" t="s">
        <v>1090</v>
      </c>
      <c r="AB101" s="1378">
        <f t="shared" si="19"/>
        <v>0</v>
      </c>
      <c r="AC101" s="1371">
        <f t="shared" si="20"/>
        <v>0</v>
      </c>
      <c r="AD101" s="1509">
        <v>0</v>
      </c>
      <c r="AE101" s="1311" t="s">
        <v>1090</v>
      </c>
      <c r="AF101" s="1311">
        <f t="shared" si="26"/>
        <v>0</v>
      </c>
      <c r="AG101" s="1311">
        <f aca="true" t="shared" si="48" ref="AG101:AG116">AF101</f>
        <v>0</v>
      </c>
      <c r="AH101" s="1371"/>
      <c r="AI101" s="1378"/>
      <c r="AJ101" s="1378"/>
      <c r="AK101" s="1378"/>
      <c r="AL101" s="1378"/>
      <c r="AM101" s="1692">
        <f aca="true" t="shared" si="49" ref="AM101:AM117">SUM(M101:P101)</f>
        <v>0.25</v>
      </c>
      <c r="AN101" s="1699">
        <f t="shared" si="22"/>
        <v>1</v>
      </c>
      <c r="AO101" s="1692">
        <v>0.25</v>
      </c>
      <c r="AP101" s="1699">
        <f aca="true" t="shared" si="50" ref="AP101:AP111">AO101/AM101</f>
        <v>1</v>
      </c>
      <c r="AQ101" s="1699">
        <f aca="true" t="shared" si="51" ref="AQ101:AQ111">AO101/Y101</f>
        <v>0.25</v>
      </c>
      <c r="AR101" s="1699">
        <f t="shared" si="23"/>
        <v>1</v>
      </c>
      <c r="AS101" s="1692"/>
      <c r="AT101" s="1692"/>
      <c r="AU101" s="1692"/>
      <c r="AV101" s="1692"/>
      <c r="AW101" s="2085">
        <f aca="true" t="shared" si="52" ref="AW101:AW117">SUM(M101:R101)</f>
        <v>0.75</v>
      </c>
      <c r="AX101" s="2085">
        <f t="shared" si="24"/>
        <v>1</v>
      </c>
      <c r="AY101" s="2317">
        <v>0.75</v>
      </c>
      <c r="AZ101" s="1990">
        <v>1</v>
      </c>
      <c r="BA101" s="1989"/>
      <c r="BB101" s="2085">
        <v>0.75</v>
      </c>
      <c r="BC101" s="1989"/>
      <c r="BD101" s="1989"/>
      <c r="BE101" s="101"/>
      <c r="BF101" s="101"/>
      <c r="BG101" s="2339">
        <f aca="true" t="shared" si="53" ref="BG101:BG117">SUM(M101:T101)</f>
        <v>0.75</v>
      </c>
      <c r="BH101" s="2373">
        <f t="shared" si="25"/>
        <v>1</v>
      </c>
      <c r="BI101" s="2410">
        <v>0.75</v>
      </c>
      <c r="BJ101" s="2336">
        <v>1</v>
      </c>
      <c r="BK101" s="2337"/>
      <c r="BL101" s="2373">
        <v>0.75</v>
      </c>
      <c r="BM101" s="2337"/>
      <c r="BN101" s="2337"/>
      <c r="BO101" s="2408"/>
      <c r="BP101" s="2408"/>
    </row>
    <row r="102" spans="1:68" s="49" customFormat="1" ht="51.75" thickBot="1">
      <c r="A102" s="2655"/>
      <c r="B102" s="2655"/>
      <c r="C102" s="2657"/>
      <c r="D102" s="1767" t="s">
        <v>914</v>
      </c>
      <c r="E102" s="437" t="s">
        <v>72</v>
      </c>
      <c r="F102" s="141">
        <v>1</v>
      </c>
      <c r="G102" s="64" t="s">
        <v>73</v>
      </c>
      <c r="H102" s="136" t="s">
        <v>910</v>
      </c>
      <c r="I102" s="432">
        <f t="shared" si="47"/>
        <v>0.05555555555555555</v>
      </c>
      <c r="J102" s="136" t="s">
        <v>236</v>
      </c>
      <c r="K102" s="62">
        <v>42020</v>
      </c>
      <c r="L102" s="62">
        <v>42369</v>
      </c>
      <c r="M102" s="137"/>
      <c r="N102" s="137"/>
      <c r="O102" s="137"/>
      <c r="P102" s="137"/>
      <c r="Q102" s="137"/>
      <c r="R102" s="137"/>
      <c r="S102" s="137"/>
      <c r="T102" s="137"/>
      <c r="U102" s="138"/>
      <c r="V102" s="138"/>
      <c r="W102" s="138"/>
      <c r="X102" s="138">
        <v>1</v>
      </c>
      <c r="Y102" s="121">
        <f aca="true" t="shared" si="54" ref="Y102:Y116">SUM(M102:X102)</f>
        <v>1</v>
      </c>
      <c r="Z102" s="393">
        <v>0</v>
      </c>
      <c r="AA102" s="611" t="s">
        <v>1090</v>
      </c>
      <c r="AB102" s="1378">
        <f t="shared" si="19"/>
        <v>0</v>
      </c>
      <c r="AC102" s="1371">
        <f t="shared" si="20"/>
        <v>0</v>
      </c>
      <c r="AD102" s="1509">
        <v>0</v>
      </c>
      <c r="AE102" s="1311" t="s">
        <v>1090</v>
      </c>
      <c r="AF102" s="1311">
        <f t="shared" si="26"/>
        <v>0</v>
      </c>
      <c r="AG102" s="1311">
        <f t="shared" si="48"/>
        <v>0</v>
      </c>
      <c r="AH102" s="1371"/>
      <c r="AI102" s="1378"/>
      <c r="AJ102" s="1378"/>
      <c r="AK102" s="1378"/>
      <c r="AL102" s="1378"/>
      <c r="AM102" s="1692">
        <f t="shared" si="49"/>
        <v>0</v>
      </c>
      <c r="AN102" s="1699">
        <f t="shared" si="22"/>
        <v>0</v>
      </c>
      <c r="AO102" s="1692" t="s">
        <v>1090</v>
      </c>
      <c r="AP102" s="1699" t="s">
        <v>1090</v>
      </c>
      <c r="AQ102" s="1699" t="s">
        <v>1090</v>
      </c>
      <c r="AR102" s="1699">
        <v>0</v>
      </c>
      <c r="AS102" s="1692"/>
      <c r="AT102" s="1692"/>
      <c r="AU102" s="1692"/>
      <c r="AV102" s="1692"/>
      <c r="AW102" s="2084">
        <f t="shared" si="52"/>
        <v>0</v>
      </c>
      <c r="AX102" s="2085">
        <f t="shared" si="24"/>
        <v>0</v>
      </c>
      <c r="AY102" s="1989">
        <v>0</v>
      </c>
      <c r="AZ102" s="1990" t="s">
        <v>1090</v>
      </c>
      <c r="BA102" s="1989"/>
      <c r="BB102" s="2085">
        <v>0</v>
      </c>
      <c r="BC102" s="1989"/>
      <c r="BD102" s="1989"/>
      <c r="BE102" s="101"/>
      <c r="BF102" s="101"/>
      <c r="BG102" s="2339">
        <f t="shared" si="53"/>
        <v>0</v>
      </c>
      <c r="BH102" s="2373">
        <f t="shared" si="25"/>
        <v>0</v>
      </c>
      <c r="BI102" s="2337" t="s">
        <v>1090</v>
      </c>
      <c r="BJ102" s="2336" t="s">
        <v>1090</v>
      </c>
      <c r="BK102" s="2337"/>
      <c r="BL102" s="2373">
        <v>0</v>
      </c>
      <c r="BM102" s="2337"/>
      <c r="BN102" s="2337"/>
      <c r="BO102" s="2408"/>
      <c r="BP102" s="2408"/>
    </row>
    <row r="103" spans="1:68" s="49" customFormat="1" ht="52.5" customHeight="1" thickBot="1">
      <c r="A103" s="2655"/>
      <c r="B103" s="2655"/>
      <c r="C103" s="2657"/>
      <c r="D103" s="1767" t="s">
        <v>2014</v>
      </c>
      <c r="E103" s="132" t="s">
        <v>231</v>
      </c>
      <c r="F103" s="141" t="s">
        <v>100</v>
      </c>
      <c r="G103" s="64" t="s">
        <v>915</v>
      </c>
      <c r="H103" s="1837" t="s">
        <v>2013</v>
      </c>
      <c r="I103" s="432">
        <f t="shared" si="47"/>
        <v>0.05555555555555555</v>
      </c>
      <c r="J103" s="1837" t="s">
        <v>916</v>
      </c>
      <c r="K103" s="62">
        <v>42005</v>
      </c>
      <c r="L103" s="62">
        <v>42369</v>
      </c>
      <c r="M103" s="137"/>
      <c r="N103" s="137"/>
      <c r="O103" s="137"/>
      <c r="P103" s="137"/>
      <c r="Q103" s="137"/>
      <c r="R103" s="137"/>
      <c r="S103" s="137"/>
      <c r="T103" s="137"/>
      <c r="U103" s="138"/>
      <c r="V103" s="138"/>
      <c r="W103" s="138"/>
      <c r="X103" s="138"/>
      <c r="Y103" s="121" t="s">
        <v>100</v>
      </c>
      <c r="Z103" s="393">
        <v>0</v>
      </c>
      <c r="AA103" s="611" t="s">
        <v>1090</v>
      </c>
      <c r="AB103" s="1378">
        <f aca="true" t="shared" si="55" ref="AB103">SUM(M103:N103)</f>
        <v>0</v>
      </c>
      <c r="AC103" s="1371">
        <f t="shared" si="20"/>
        <v>0</v>
      </c>
      <c r="AD103" s="1509">
        <v>0</v>
      </c>
      <c r="AE103" s="1311" t="s">
        <v>1090</v>
      </c>
      <c r="AF103" s="1311" t="e">
        <f t="shared" si="26"/>
        <v>#VALUE!</v>
      </c>
      <c r="AG103" s="1311">
        <v>0</v>
      </c>
      <c r="AH103" s="1371"/>
      <c r="AI103" s="1378"/>
      <c r="AJ103" s="1378"/>
      <c r="AK103" s="1378"/>
      <c r="AL103" s="1378"/>
      <c r="AM103" s="1692">
        <f t="shared" si="49"/>
        <v>0</v>
      </c>
      <c r="AN103" s="1699">
        <f t="shared" si="22"/>
        <v>0</v>
      </c>
      <c r="AO103" s="1692" t="s">
        <v>1090</v>
      </c>
      <c r="AP103" s="1699" t="s">
        <v>1090</v>
      </c>
      <c r="AQ103" s="1699" t="s">
        <v>1090</v>
      </c>
      <c r="AR103" s="1699" t="str">
        <f t="shared" si="23"/>
        <v>-</v>
      </c>
      <c r="AS103" s="1692"/>
      <c r="AT103" s="1692"/>
      <c r="AU103" s="1692"/>
      <c r="AV103" s="1692"/>
      <c r="AW103" s="2084">
        <f t="shared" si="52"/>
        <v>0</v>
      </c>
      <c r="AX103" s="2085">
        <f t="shared" si="24"/>
        <v>0</v>
      </c>
      <c r="AY103" s="1989" t="s">
        <v>1090</v>
      </c>
      <c r="AZ103" s="1990" t="s">
        <v>1090</v>
      </c>
      <c r="BA103" s="1989"/>
      <c r="BB103" s="2085" t="s">
        <v>1090</v>
      </c>
      <c r="BC103" s="1989"/>
      <c r="BD103" s="1989"/>
      <c r="BE103" s="101"/>
      <c r="BF103" s="101"/>
      <c r="BG103" s="2339">
        <f t="shared" si="53"/>
        <v>0</v>
      </c>
      <c r="BH103" s="2373">
        <f t="shared" si="25"/>
        <v>0</v>
      </c>
      <c r="BI103" s="2337" t="s">
        <v>1090</v>
      </c>
      <c r="BJ103" s="2336" t="s">
        <v>1090</v>
      </c>
      <c r="BK103" s="2337"/>
      <c r="BL103" s="2373" t="s">
        <v>1090</v>
      </c>
      <c r="BM103" s="2337"/>
      <c r="BN103" s="2337"/>
      <c r="BO103" s="2408"/>
      <c r="BP103" s="2408"/>
    </row>
    <row r="104" spans="1:68" s="49" customFormat="1" ht="39" thickBot="1">
      <c r="A104" s="2655"/>
      <c r="B104" s="2655"/>
      <c r="C104" s="2664"/>
      <c r="D104" s="1767" t="s">
        <v>2159</v>
      </c>
      <c r="E104" s="132" t="s">
        <v>62</v>
      </c>
      <c r="F104" s="1838">
        <v>1</v>
      </c>
      <c r="G104" s="64" t="s">
        <v>2160</v>
      </c>
      <c r="H104" s="1837" t="s">
        <v>2161</v>
      </c>
      <c r="I104" s="432">
        <f t="shared" si="47"/>
        <v>0.05555555555555555</v>
      </c>
      <c r="J104" s="1837" t="s">
        <v>2162</v>
      </c>
      <c r="K104" s="62">
        <v>42005</v>
      </c>
      <c r="L104" s="62">
        <v>42369</v>
      </c>
      <c r="M104" s="137"/>
      <c r="N104" s="137"/>
      <c r="O104" s="1847">
        <v>0.6</v>
      </c>
      <c r="P104" s="137"/>
      <c r="Q104" s="137"/>
      <c r="R104" s="1848">
        <v>0.22</v>
      </c>
      <c r="S104" s="137"/>
      <c r="T104" s="137"/>
      <c r="U104" s="128">
        <v>0.03</v>
      </c>
      <c r="V104" s="138"/>
      <c r="W104" s="138"/>
      <c r="X104" s="658">
        <v>0.15</v>
      </c>
      <c r="Y104" s="1839">
        <f>SUM(M104:X104)</f>
        <v>1</v>
      </c>
      <c r="Z104" s="393">
        <v>0</v>
      </c>
      <c r="AA104" s="611" t="s">
        <v>1090</v>
      </c>
      <c r="AB104" s="1378">
        <f t="shared" si="19"/>
        <v>0</v>
      </c>
      <c r="AC104" s="1371">
        <f t="shared" si="20"/>
        <v>0</v>
      </c>
      <c r="AD104" s="1509">
        <v>0</v>
      </c>
      <c r="AE104" s="1311" t="s">
        <v>1090</v>
      </c>
      <c r="AF104" s="1311">
        <f t="shared" si="26"/>
        <v>0</v>
      </c>
      <c r="AG104" s="1311">
        <v>0</v>
      </c>
      <c r="AH104" s="1371"/>
      <c r="AI104" s="1378"/>
      <c r="AJ104" s="1378"/>
      <c r="AK104" s="1378"/>
      <c r="AL104" s="1378"/>
      <c r="AM104" s="1692">
        <f t="shared" si="49"/>
        <v>0.6</v>
      </c>
      <c r="AN104" s="1699">
        <f t="shared" si="22"/>
        <v>1</v>
      </c>
      <c r="AO104" s="1692">
        <v>0.6</v>
      </c>
      <c r="AP104" s="1699">
        <f t="shared" si="50"/>
        <v>1</v>
      </c>
      <c r="AQ104" s="1699">
        <f t="shared" si="51"/>
        <v>0.6</v>
      </c>
      <c r="AR104" s="1699">
        <f t="shared" si="23"/>
        <v>1</v>
      </c>
      <c r="AS104" s="1692"/>
      <c r="AT104" s="1692"/>
      <c r="AU104" s="1692"/>
      <c r="AV104" s="1692"/>
      <c r="AW104" s="2085">
        <f t="shared" si="52"/>
        <v>0.82</v>
      </c>
      <c r="AX104" s="2085">
        <f t="shared" si="24"/>
        <v>1</v>
      </c>
      <c r="AY104" s="2317">
        <v>0.82</v>
      </c>
      <c r="AZ104" s="1990">
        <v>1</v>
      </c>
      <c r="BA104" s="1989"/>
      <c r="BB104" s="2085">
        <v>0.82</v>
      </c>
      <c r="BC104" s="1989"/>
      <c r="BD104" s="1989"/>
      <c r="BE104" s="101"/>
      <c r="BF104" s="101"/>
      <c r="BG104" s="2339">
        <f t="shared" si="53"/>
        <v>0.82</v>
      </c>
      <c r="BH104" s="2373">
        <f t="shared" si="25"/>
        <v>1</v>
      </c>
      <c r="BI104" s="2410">
        <v>0.82</v>
      </c>
      <c r="BJ104" s="2336">
        <v>1</v>
      </c>
      <c r="BK104" s="2337"/>
      <c r="BL104" s="2373">
        <v>0.82</v>
      </c>
      <c r="BM104" s="2337"/>
      <c r="BN104" s="2337"/>
      <c r="BO104" s="2408"/>
      <c r="BP104" s="2408"/>
    </row>
    <row r="105" spans="1:68" s="49" customFormat="1" ht="39" thickBot="1">
      <c r="A105" s="2655"/>
      <c r="B105" s="2655"/>
      <c r="C105" s="2656" t="s">
        <v>237</v>
      </c>
      <c r="D105" s="385" t="s">
        <v>917</v>
      </c>
      <c r="E105" s="142" t="s">
        <v>72</v>
      </c>
      <c r="F105" s="52">
        <v>1</v>
      </c>
      <c r="G105" s="64" t="s">
        <v>73</v>
      </c>
      <c r="H105" s="65" t="s">
        <v>880</v>
      </c>
      <c r="I105" s="432">
        <f t="shared" si="47"/>
        <v>0.05555555555555555</v>
      </c>
      <c r="J105" s="144" t="s">
        <v>255</v>
      </c>
      <c r="K105" s="145">
        <v>42006</v>
      </c>
      <c r="L105" s="145">
        <v>42034</v>
      </c>
      <c r="M105" s="146">
        <v>1</v>
      </c>
      <c r="N105" s="146"/>
      <c r="O105" s="146"/>
      <c r="P105" s="146"/>
      <c r="Q105" s="146"/>
      <c r="R105" s="146"/>
      <c r="S105" s="146"/>
      <c r="T105" s="146"/>
      <c r="U105" s="147"/>
      <c r="V105" s="147"/>
      <c r="W105" s="147"/>
      <c r="X105" s="147"/>
      <c r="Y105" s="121">
        <f t="shared" si="54"/>
        <v>1</v>
      </c>
      <c r="Z105" s="393">
        <v>0</v>
      </c>
      <c r="AA105" s="611" t="s">
        <v>1090</v>
      </c>
      <c r="AB105" s="1378">
        <f t="shared" si="19"/>
        <v>1</v>
      </c>
      <c r="AC105" s="1371">
        <f t="shared" si="20"/>
        <v>1</v>
      </c>
      <c r="AD105" s="1509">
        <v>1</v>
      </c>
      <c r="AE105" s="1311">
        <f t="shared" si="21"/>
        <v>1</v>
      </c>
      <c r="AF105" s="1311">
        <f t="shared" si="26"/>
        <v>1</v>
      </c>
      <c r="AG105" s="1311">
        <f t="shared" si="48"/>
        <v>1</v>
      </c>
      <c r="AH105" s="1328"/>
      <c r="AI105" s="1378"/>
      <c r="AJ105" s="1378"/>
      <c r="AK105" s="1378" t="s">
        <v>1828</v>
      </c>
      <c r="AL105" s="1378"/>
      <c r="AM105" s="1692">
        <f t="shared" si="49"/>
        <v>1</v>
      </c>
      <c r="AN105" s="1699">
        <f t="shared" si="22"/>
        <v>1</v>
      </c>
      <c r="AO105" s="1692">
        <v>1</v>
      </c>
      <c r="AP105" s="1699">
        <f t="shared" si="50"/>
        <v>1</v>
      </c>
      <c r="AQ105" s="1699">
        <f t="shared" si="51"/>
        <v>1</v>
      </c>
      <c r="AR105" s="1699">
        <f t="shared" si="23"/>
        <v>1</v>
      </c>
      <c r="AS105" s="1692"/>
      <c r="AT105" s="1692"/>
      <c r="AU105" s="1692"/>
      <c r="AV105" s="1692"/>
      <c r="AW105" s="2084">
        <f t="shared" si="52"/>
        <v>1</v>
      </c>
      <c r="AX105" s="2085">
        <f t="shared" si="24"/>
        <v>1</v>
      </c>
      <c r="AY105" s="1989">
        <v>1</v>
      </c>
      <c r="AZ105" s="1990">
        <v>1</v>
      </c>
      <c r="BA105" s="1989"/>
      <c r="BB105" s="2085">
        <v>1</v>
      </c>
      <c r="BC105" s="1989"/>
      <c r="BD105" s="1989"/>
      <c r="BE105" s="101"/>
      <c r="BF105" s="101"/>
      <c r="BG105" s="2339">
        <f t="shared" si="53"/>
        <v>1</v>
      </c>
      <c r="BH105" s="2373">
        <f t="shared" si="25"/>
        <v>1</v>
      </c>
      <c r="BI105" s="2337">
        <v>1</v>
      </c>
      <c r="BJ105" s="2336">
        <v>1</v>
      </c>
      <c r="BK105" s="2337"/>
      <c r="BL105" s="2373">
        <v>1</v>
      </c>
      <c r="BM105" s="2337"/>
      <c r="BN105" s="2337"/>
      <c r="BO105" s="2408"/>
      <c r="BP105" s="2408"/>
    </row>
    <row r="106" spans="1:68" s="49" customFormat="1" ht="42" customHeight="1" thickBot="1">
      <c r="A106" s="2655"/>
      <c r="B106" s="2655"/>
      <c r="C106" s="2657"/>
      <c r="D106" s="2028" t="s">
        <v>2795</v>
      </c>
      <c r="E106" s="150" t="s">
        <v>62</v>
      </c>
      <c r="F106" s="435">
        <v>1</v>
      </c>
      <c r="G106" s="53" t="s">
        <v>257</v>
      </c>
      <c r="H106" s="2138" t="s">
        <v>2799</v>
      </c>
      <c r="I106" s="432">
        <f t="shared" si="47"/>
        <v>0.05555555555555555</v>
      </c>
      <c r="J106" s="2138" t="s">
        <v>2796</v>
      </c>
      <c r="K106" s="145">
        <v>42020</v>
      </c>
      <c r="L106" s="145">
        <v>42369</v>
      </c>
      <c r="M106" s="57"/>
      <c r="N106" s="57"/>
      <c r="O106" s="2113">
        <v>1</v>
      </c>
      <c r="P106" s="2092"/>
      <c r="Q106" s="2092"/>
      <c r="R106" s="2113">
        <v>1</v>
      </c>
      <c r="S106" s="2092"/>
      <c r="T106" s="2092"/>
      <c r="U106" s="2113">
        <v>1</v>
      </c>
      <c r="V106" s="2137"/>
      <c r="W106" s="2137"/>
      <c r="X106" s="2137">
        <v>1</v>
      </c>
      <c r="Y106" s="436">
        <v>1</v>
      </c>
      <c r="Z106" s="393">
        <v>0</v>
      </c>
      <c r="AA106" s="611" t="s">
        <v>1090</v>
      </c>
      <c r="AB106" s="1378">
        <f t="shared" si="19"/>
        <v>0</v>
      </c>
      <c r="AC106" s="1371">
        <f t="shared" si="20"/>
        <v>0</v>
      </c>
      <c r="AD106" s="1509">
        <v>0</v>
      </c>
      <c r="AE106" s="1311" t="s">
        <v>1090</v>
      </c>
      <c r="AF106" s="1311">
        <f t="shared" si="26"/>
        <v>0</v>
      </c>
      <c r="AG106" s="1311">
        <f t="shared" si="48"/>
        <v>0</v>
      </c>
      <c r="AH106" s="1371"/>
      <c r="AI106" s="1378"/>
      <c r="AJ106" s="1378"/>
      <c r="AK106" s="1378"/>
      <c r="AL106" s="1378"/>
      <c r="AM106" s="1692">
        <f t="shared" si="49"/>
        <v>1</v>
      </c>
      <c r="AN106" s="1699">
        <f t="shared" si="22"/>
        <v>1</v>
      </c>
      <c r="AO106" s="1692">
        <v>0.25</v>
      </c>
      <c r="AP106" s="1699">
        <f t="shared" si="50"/>
        <v>0.25</v>
      </c>
      <c r="AQ106" s="1699">
        <f t="shared" si="51"/>
        <v>0.25</v>
      </c>
      <c r="AR106" s="1699">
        <f t="shared" si="23"/>
        <v>0.25</v>
      </c>
      <c r="AS106" s="1692"/>
      <c r="AT106" s="1692"/>
      <c r="AU106" s="1692"/>
      <c r="AV106" s="1692"/>
      <c r="AW106" s="2084">
        <f t="shared" si="52"/>
        <v>2</v>
      </c>
      <c r="AX106" s="2085">
        <f t="shared" si="24"/>
        <v>1</v>
      </c>
      <c r="AY106" s="2317">
        <v>1</v>
      </c>
      <c r="AZ106" s="1990">
        <v>1</v>
      </c>
      <c r="BA106" s="1989"/>
      <c r="BB106" s="2085">
        <v>0.5</v>
      </c>
      <c r="BC106" s="1989"/>
      <c r="BD106" s="1989"/>
      <c r="BE106" s="101"/>
      <c r="BF106" s="101"/>
      <c r="BG106" s="2339">
        <f t="shared" si="53"/>
        <v>2</v>
      </c>
      <c r="BH106" s="2373">
        <f t="shared" si="25"/>
        <v>1</v>
      </c>
      <c r="BI106" s="2410">
        <v>1</v>
      </c>
      <c r="BJ106" s="2336">
        <v>1</v>
      </c>
      <c r="BK106" s="2337"/>
      <c r="BL106" s="2373">
        <v>0.5</v>
      </c>
      <c r="BM106" s="2337"/>
      <c r="BN106" s="2337"/>
      <c r="BO106" s="2408"/>
      <c r="BP106" s="2408"/>
    </row>
    <row r="107" spans="1:68" s="49" customFormat="1" ht="51.75" thickBot="1">
      <c r="A107" s="2655"/>
      <c r="B107" s="2655"/>
      <c r="C107" s="2657"/>
      <c r="D107" s="2010" t="s">
        <v>2543</v>
      </c>
      <c r="E107" s="154" t="s">
        <v>148</v>
      </c>
      <c r="F107" s="102">
        <v>1</v>
      </c>
      <c r="G107" s="2139" t="s">
        <v>2797</v>
      </c>
      <c r="H107" s="2011" t="s">
        <v>2537</v>
      </c>
      <c r="I107" s="432">
        <f t="shared" si="47"/>
        <v>0.05555555555555555</v>
      </c>
      <c r="J107" s="438" t="s">
        <v>918</v>
      </c>
      <c r="K107" s="439">
        <v>42020</v>
      </c>
      <c r="L107" s="439">
        <v>42369</v>
      </c>
      <c r="M107" s="156"/>
      <c r="N107" s="156"/>
      <c r="O107" s="156">
        <v>1</v>
      </c>
      <c r="P107" s="156"/>
      <c r="Q107" s="156"/>
      <c r="R107" s="156"/>
      <c r="S107" s="156"/>
      <c r="T107" s="156"/>
      <c r="U107" s="156"/>
      <c r="V107" s="156"/>
      <c r="W107" s="156"/>
      <c r="X107" s="156"/>
      <c r="Y107" s="121">
        <f t="shared" si="54"/>
        <v>1</v>
      </c>
      <c r="Z107" s="393">
        <v>0</v>
      </c>
      <c r="AA107" s="611" t="s">
        <v>1090</v>
      </c>
      <c r="AB107" s="1378">
        <f t="shared" si="19"/>
        <v>0</v>
      </c>
      <c r="AC107" s="1371">
        <f t="shared" si="20"/>
        <v>0</v>
      </c>
      <c r="AD107" s="1509">
        <v>0</v>
      </c>
      <c r="AE107" s="1311" t="s">
        <v>1090</v>
      </c>
      <c r="AF107" s="1311">
        <f t="shared" si="26"/>
        <v>0</v>
      </c>
      <c r="AG107" s="1311">
        <f t="shared" si="48"/>
        <v>0</v>
      </c>
      <c r="AH107" s="1371"/>
      <c r="AI107" s="1378"/>
      <c r="AJ107" s="1378"/>
      <c r="AK107" s="1378"/>
      <c r="AL107" s="1378"/>
      <c r="AM107" s="1692">
        <f t="shared" si="49"/>
        <v>1</v>
      </c>
      <c r="AN107" s="1699">
        <f t="shared" si="22"/>
        <v>1</v>
      </c>
      <c r="AO107" s="1692" t="s">
        <v>1090</v>
      </c>
      <c r="AP107" s="1699" t="s">
        <v>1090</v>
      </c>
      <c r="AQ107" s="1699" t="s">
        <v>1090</v>
      </c>
      <c r="AR107" s="1699">
        <v>0</v>
      </c>
      <c r="AS107" s="1692"/>
      <c r="AT107" s="1692"/>
      <c r="AU107" s="1692"/>
      <c r="AV107" s="1692"/>
      <c r="AW107" s="2084">
        <f t="shared" si="52"/>
        <v>1</v>
      </c>
      <c r="AX107" s="2085">
        <f t="shared" si="24"/>
        <v>1</v>
      </c>
      <c r="AY107" s="1989">
        <v>1</v>
      </c>
      <c r="AZ107" s="1990">
        <v>1</v>
      </c>
      <c r="BA107" s="1989"/>
      <c r="BB107" s="2085">
        <v>1</v>
      </c>
      <c r="BC107" s="1989"/>
      <c r="BD107" s="1989"/>
      <c r="BE107" s="101"/>
      <c r="BF107" s="101"/>
      <c r="BG107" s="2339">
        <f t="shared" si="53"/>
        <v>1</v>
      </c>
      <c r="BH107" s="2373">
        <f t="shared" si="25"/>
        <v>1</v>
      </c>
      <c r="BI107" s="2337">
        <v>1</v>
      </c>
      <c r="BJ107" s="2336">
        <v>1</v>
      </c>
      <c r="BK107" s="2337"/>
      <c r="BL107" s="2373">
        <v>1</v>
      </c>
      <c r="BM107" s="2337"/>
      <c r="BN107" s="2337"/>
      <c r="BO107" s="2408"/>
      <c r="BP107" s="2408"/>
    </row>
    <row r="108" spans="1:68" s="49" customFormat="1" ht="63" customHeight="1" thickBot="1">
      <c r="A108" s="2655"/>
      <c r="B108" s="2655"/>
      <c r="C108" s="2657"/>
      <c r="D108" s="2010" t="s">
        <v>2544</v>
      </c>
      <c r="E108" s="2029" t="s">
        <v>2545</v>
      </c>
      <c r="F108" s="2030">
        <v>18</v>
      </c>
      <c r="G108" s="2140" t="s">
        <v>2798</v>
      </c>
      <c r="H108" s="2011" t="s">
        <v>2537</v>
      </c>
      <c r="I108" s="432">
        <v>0.0526</v>
      </c>
      <c r="J108" s="2031" t="s">
        <v>2546</v>
      </c>
      <c r="K108" s="2032">
        <v>42186</v>
      </c>
      <c r="L108" s="2033">
        <v>42369</v>
      </c>
      <c r="M108" s="156"/>
      <c r="N108" s="156"/>
      <c r="O108" s="156"/>
      <c r="P108" s="156"/>
      <c r="Q108" s="156"/>
      <c r="R108" s="2091">
        <v>18</v>
      </c>
      <c r="S108" s="156"/>
      <c r="T108" s="156"/>
      <c r="U108" s="156"/>
      <c r="V108" s="156"/>
      <c r="W108" s="156"/>
      <c r="X108" s="156"/>
      <c r="Y108" s="102">
        <f>SUM(M108:X108)</f>
        <v>18</v>
      </c>
      <c r="Z108" s="393"/>
      <c r="AA108" s="611"/>
      <c r="AB108" s="1378">
        <f t="shared" si="19"/>
        <v>0</v>
      </c>
      <c r="AC108" s="1371">
        <f t="shared" si="20"/>
        <v>0</v>
      </c>
      <c r="AD108" s="1509">
        <v>0</v>
      </c>
      <c r="AE108" s="1311" t="s">
        <v>1090</v>
      </c>
      <c r="AF108" s="1311">
        <f t="shared" si="26"/>
        <v>0</v>
      </c>
      <c r="AG108" s="1311">
        <f t="shared" si="48"/>
        <v>0</v>
      </c>
      <c r="AH108" s="1371"/>
      <c r="AI108" s="1378"/>
      <c r="AJ108" s="1378"/>
      <c r="AK108" s="1378"/>
      <c r="AL108" s="1378"/>
      <c r="AM108" s="1692">
        <f t="shared" si="49"/>
        <v>0</v>
      </c>
      <c r="AN108" s="1699">
        <f t="shared" si="22"/>
        <v>0</v>
      </c>
      <c r="AO108" s="1692">
        <v>1</v>
      </c>
      <c r="AP108" s="1699" t="e">
        <f t="shared" si="50"/>
        <v>#DIV/0!</v>
      </c>
      <c r="AQ108" s="1699">
        <f t="shared" si="51"/>
        <v>0.05555555555555555</v>
      </c>
      <c r="AR108" s="1699" t="str">
        <f t="shared" si="23"/>
        <v>-</v>
      </c>
      <c r="AS108" s="1692"/>
      <c r="AT108" s="1692"/>
      <c r="AU108" s="1692"/>
      <c r="AV108" s="1692"/>
      <c r="AW108" s="2084">
        <f t="shared" si="52"/>
        <v>18</v>
      </c>
      <c r="AX108" s="2085">
        <f t="shared" si="24"/>
        <v>1</v>
      </c>
      <c r="AY108" s="1989">
        <v>18</v>
      </c>
      <c r="AZ108" s="1990">
        <v>1</v>
      </c>
      <c r="BA108" s="1989"/>
      <c r="BB108" s="2085">
        <v>1</v>
      </c>
      <c r="BC108" s="1989"/>
      <c r="BD108" s="1989"/>
      <c r="BE108" s="101"/>
      <c r="BF108" s="101"/>
      <c r="BG108" s="2339">
        <f t="shared" si="53"/>
        <v>18</v>
      </c>
      <c r="BH108" s="2373">
        <f t="shared" si="25"/>
        <v>1</v>
      </c>
      <c r="BI108" s="2337">
        <v>18</v>
      </c>
      <c r="BJ108" s="2336">
        <v>1</v>
      </c>
      <c r="BK108" s="2337"/>
      <c r="BL108" s="2373">
        <v>1</v>
      </c>
      <c r="BM108" s="2337"/>
      <c r="BN108" s="2337"/>
      <c r="BO108" s="2408"/>
      <c r="BP108" s="2408"/>
    </row>
    <row r="109" spans="1:68" s="49" customFormat="1" ht="51.75" thickBot="1">
      <c r="A109" s="2655"/>
      <c r="B109" s="2655"/>
      <c r="C109" s="2656" t="s">
        <v>919</v>
      </c>
      <c r="D109" s="303" t="s">
        <v>920</v>
      </c>
      <c r="E109" s="437" t="s">
        <v>136</v>
      </c>
      <c r="F109" s="141">
        <v>2</v>
      </c>
      <c r="G109" s="64" t="s">
        <v>921</v>
      </c>
      <c r="H109" s="2138" t="s">
        <v>1483</v>
      </c>
      <c r="I109" s="432">
        <f t="shared" si="47"/>
        <v>0.05555555555555555</v>
      </c>
      <c r="J109" s="438" t="s">
        <v>2015</v>
      </c>
      <c r="K109" s="439">
        <v>42005</v>
      </c>
      <c r="L109" s="439">
        <v>42368</v>
      </c>
      <c r="M109" s="156"/>
      <c r="N109" s="156"/>
      <c r="O109" s="156"/>
      <c r="P109" s="156"/>
      <c r="Q109" s="156"/>
      <c r="R109" s="156"/>
      <c r="S109" s="156"/>
      <c r="T109" s="156">
        <v>1</v>
      </c>
      <c r="U109" s="156"/>
      <c r="V109" s="156"/>
      <c r="W109" s="156"/>
      <c r="X109" s="156">
        <v>1</v>
      </c>
      <c r="Y109" s="121">
        <f t="shared" si="54"/>
        <v>2</v>
      </c>
      <c r="Z109" s="393">
        <v>0</v>
      </c>
      <c r="AA109" s="611" t="s">
        <v>1090</v>
      </c>
      <c r="AB109" s="1378">
        <f t="shared" si="19"/>
        <v>0</v>
      </c>
      <c r="AC109" s="1371">
        <f t="shared" si="20"/>
        <v>0</v>
      </c>
      <c r="AD109" s="1509">
        <v>0</v>
      </c>
      <c r="AE109" s="1311" t="s">
        <v>1090</v>
      </c>
      <c r="AF109" s="1311">
        <f t="shared" si="26"/>
        <v>0</v>
      </c>
      <c r="AG109" s="1311">
        <f t="shared" si="48"/>
        <v>0</v>
      </c>
      <c r="AH109" s="1371"/>
      <c r="AI109" s="1378"/>
      <c r="AJ109" s="1378"/>
      <c r="AK109" s="1378"/>
      <c r="AL109" s="1378"/>
      <c r="AM109" s="1692">
        <f t="shared" si="49"/>
        <v>0</v>
      </c>
      <c r="AN109" s="1699">
        <f t="shared" si="22"/>
        <v>0</v>
      </c>
      <c r="AO109" s="1692" t="s">
        <v>1090</v>
      </c>
      <c r="AP109" s="1699" t="s">
        <v>1090</v>
      </c>
      <c r="AQ109" s="1699" t="s">
        <v>1090</v>
      </c>
      <c r="AR109" s="1699">
        <v>0</v>
      </c>
      <c r="AS109" s="1692"/>
      <c r="AT109" s="1692"/>
      <c r="AU109" s="1692"/>
      <c r="AV109" s="1692"/>
      <c r="AW109" s="2084">
        <f t="shared" si="52"/>
        <v>0</v>
      </c>
      <c r="AX109" s="2085">
        <f t="shared" si="24"/>
        <v>0</v>
      </c>
      <c r="AY109" s="1989">
        <v>0</v>
      </c>
      <c r="AZ109" s="1990" t="s">
        <v>1090</v>
      </c>
      <c r="BA109" s="1989"/>
      <c r="BB109" s="2085">
        <v>0</v>
      </c>
      <c r="BC109" s="1989"/>
      <c r="BD109" s="1989"/>
      <c r="BE109" s="101"/>
      <c r="BF109" s="101"/>
      <c r="BG109" s="2339">
        <f t="shared" si="53"/>
        <v>1</v>
      </c>
      <c r="BH109" s="2373">
        <f t="shared" si="25"/>
        <v>1</v>
      </c>
      <c r="BI109" s="2337">
        <v>1</v>
      </c>
      <c r="BJ109" s="2336">
        <v>1</v>
      </c>
      <c r="BK109" s="2337"/>
      <c r="BL109" s="2373">
        <f>BI109/Y109</f>
        <v>0.5</v>
      </c>
      <c r="BM109" s="2337"/>
      <c r="BN109" s="2337"/>
      <c r="BO109" s="2408"/>
      <c r="BP109" s="2408"/>
    </row>
    <row r="110" spans="1:68" s="49" customFormat="1" ht="26.25" thickBot="1">
      <c r="A110" s="2655"/>
      <c r="B110" s="2655"/>
      <c r="C110" s="2657"/>
      <c r="D110" s="250" t="s">
        <v>2803</v>
      </c>
      <c r="E110" s="440" t="s">
        <v>2805</v>
      </c>
      <c r="F110" s="1840">
        <v>2</v>
      </c>
      <c r="G110" s="133" t="s">
        <v>2806</v>
      </c>
      <c r="H110" s="441" t="s">
        <v>2804</v>
      </c>
      <c r="I110" s="432">
        <f t="shared" si="47"/>
        <v>0.05555555555555555</v>
      </c>
      <c r="J110" s="442" t="s">
        <v>2807</v>
      </c>
      <c r="K110" s="443">
        <v>42036</v>
      </c>
      <c r="L110" s="443">
        <v>42124</v>
      </c>
      <c r="M110" s="370"/>
      <c r="N110" s="371"/>
      <c r="O110" s="1842"/>
      <c r="P110" s="1204"/>
      <c r="Q110" s="371"/>
      <c r="R110" s="1843"/>
      <c r="S110" s="371"/>
      <c r="T110" s="1844"/>
      <c r="U110" s="156">
        <v>1</v>
      </c>
      <c r="V110" s="1845"/>
      <c r="W110" s="156">
        <v>1</v>
      </c>
      <c r="X110" s="1846"/>
      <c r="Y110" s="1841">
        <v>1</v>
      </c>
      <c r="Z110" s="393">
        <v>0</v>
      </c>
      <c r="AA110" s="611" t="s">
        <v>1090</v>
      </c>
      <c r="AB110" s="1378">
        <f t="shared" si="19"/>
        <v>0</v>
      </c>
      <c r="AC110" s="1371">
        <f t="shared" si="20"/>
        <v>0</v>
      </c>
      <c r="AD110" s="1509">
        <v>0</v>
      </c>
      <c r="AE110" s="1311" t="s">
        <v>1090</v>
      </c>
      <c r="AF110" s="1311">
        <f t="shared" si="26"/>
        <v>0</v>
      </c>
      <c r="AG110" s="1311">
        <f t="shared" si="48"/>
        <v>0</v>
      </c>
      <c r="AH110" s="1371"/>
      <c r="AI110" s="1378"/>
      <c r="AJ110" s="1378"/>
      <c r="AK110" s="1378"/>
      <c r="AL110" s="1378"/>
      <c r="AM110" s="1692">
        <f t="shared" si="49"/>
        <v>0</v>
      </c>
      <c r="AN110" s="1699">
        <f t="shared" si="22"/>
        <v>0</v>
      </c>
      <c r="AO110" s="1692">
        <v>0.05</v>
      </c>
      <c r="AP110" s="1699" t="e">
        <f t="shared" si="50"/>
        <v>#DIV/0!</v>
      </c>
      <c r="AQ110" s="1699">
        <f t="shared" si="51"/>
        <v>0.05</v>
      </c>
      <c r="AR110" s="1699" t="str">
        <f t="shared" si="23"/>
        <v>-</v>
      </c>
      <c r="AS110" s="1692"/>
      <c r="AT110" s="1692"/>
      <c r="AU110" s="1692"/>
      <c r="AV110" s="1692"/>
      <c r="AW110" s="2084">
        <f t="shared" si="52"/>
        <v>0</v>
      </c>
      <c r="AX110" s="2085">
        <f t="shared" si="24"/>
        <v>0</v>
      </c>
      <c r="AY110" s="1989">
        <v>0</v>
      </c>
      <c r="AZ110" s="1990" t="s">
        <v>1090</v>
      </c>
      <c r="BA110" s="1989"/>
      <c r="BB110" s="2085">
        <v>0</v>
      </c>
      <c r="BC110" s="1989"/>
      <c r="BD110" s="1989"/>
      <c r="BE110" s="101"/>
      <c r="BF110" s="101"/>
      <c r="BG110" s="2339">
        <f t="shared" si="53"/>
        <v>0</v>
      </c>
      <c r="BH110" s="2373">
        <f t="shared" si="25"/>
        <v>0</v>
      </c>
      <c r="BI110" s="2337" t="s">
        <v>1090</v>
      </c>
      <c r="BJ110" s="2336" t="s">
        <v>1090</v>
      </c>
      <c r="BK110" s="2337"/>
      <c r="BL110" s="2373">
        <v>0</v>
      </c>
      <c r="BM110" s="2337"/>
      <c r="BN110" s="2337"/>
      <c r="BO110" s="2408"/>
      <c r="BP110" s="2408"/>
    </row>
    <row r="111" spans="1:68" s="2162" customFormat="1" ht="51.75" thickBot="1">
      <c r="A111" s="2655"/>
      <c r="B111" s="2655"/>
      <c r="C111" s="2657"/>
      <c r="D111" s="2145" t="s">
        <v>923</v>
      </c>
      <c r="E111" s="2146" t="s">
        <v>924</v>
      </c>
      <c r="F111" s="2147">
        <v>1</v>
      </c>
      <c r="G111" s="2147" t="s">
        <v>925</v>
      </c>
      <c r="H111" s="2147" t="s">
        <v>2804</v>
      </c>
      <c r="I111" s="2148">
        <f t="shared" si="47"/>
        <v>0.05555555555555555</v>
      </c>
      <c r="J111" s="2147" t="s">
        <v>926</v>
      </c>
      <c r="K111" s="2149">
        <v>42005</v>
      </c>
      <c r="L111" s="2150">
        <v>42094</v>
      </c>
      <c r="M111" s="2151"/>
      <c r="N111" s="2151"/>
      <c r="O111" s="2151">
        <v>1</v>
      </c>
      <c r="P111" s="2151"/>
      <c r="Q111" s="2151"/>
      <c r="R111" s="2151"/>
      <c r="S111" s="2151"/>
      <c r="T111" s="2151"/>
      <c r="U111" s="2151"/>
      <c r="V111" s="2151"/>
      <c r="W111" s="2151"/>
      <c r="X111" s="2151"/>
      <c r="Y111" s="2152">
        <f t="shared" si="54"/>
        <v>1</v>
      </c>
      <c r="Z111" s="2153">
        <v>0</v>
      </c>
      <c r="AA111" s="2154" t="s">
        <v>1090</v>
      </c>
      <c r="AB111" s="2155">
        <f t="shared" si="19"/>
        <v>0</v>
      </c>
      <c r="AC111" s="2156">
        <f t="shared" si="20"/>
        <v>0</v>
      </c>
      <c r="AD111" s="2157">
        <v>0</v>
      </c>
      <c r="AE111" s="2158" t="s">
        <v>1090</v>
      </c>
      <c r="AF111" s="2158">
        <f t="shared" si="26"/>
        <v>0</v>
      </c>
      <c r="AG111" s="2158">
        <f t="shared" si="48"/>
        <v>0</v>
      </c>
      <c r="AH111" s="2156"/>
      <c r="AI111" s="2155"/>
      <c r="AJ111" s="2155"/>
      <c r="AK111" s="2155"/>
      <c r="AL111" s="2155"/>
      <c r="AM111" s="2159">
        <f t="shared" si="49"/>
        <v>1</v>
      </c>
      <c r="AN111" s="2160">
        <f t="shared" si="22"/>
        <v>1</v>
      </c>
      <c r="AO111" s="2159">
        <v>1</v>
      </c>
      <c r="AP111" s="2160">
        <f t="shared" si="50"/>
        <v>1</v>
      </c>
      <c r="AQ111" s="2160">
        <f t="shared" si="51"/>
        <v>1</v>
      </c>
      <c r="AR111" s="2160">
        <f t="shared" si="23"/>
        <v>1</v>
      </c>
      <c r="AS111" s="2159"/>
      <c r="AT111" s="2159"/>
      <c r="AU111" s="2159" t="s">
        <v>2364</v>
      </c>
      <c r="AV111" s="2159"/>
      <c r="AW111" s="2084">
        <f t="shared" si="52"/>
        <v>1</v>
      </c>
      <c r="AX111" s="2085">
        <f t="shared" si="24"/>
        <v>1</v>
      </c>
      <c r="AY111" s="1989">
        <v>1</v>
      </c>
      <c r="AZ111" s="1990">
        <v>1</v>
      </c>
      <c r="BA111" s="1989"/>
      <c r="BB111" s="2085">
        <v>1</v>
      </c>
      <c r="BC111" s="1989"/>
      <c r="BD111" s="1989"/>
      <c r="BE111" s="2161"/>
      <c r="BF111" s="2161"/>
      <c r="BG111" s="2339">
        <f t="shared" si="53"/>
        <v>1</v>
      </c>
      <c r="BH111" s="2373">
        <f t="shared" si="25"/>
        <v>1</v>
      </c>
      <c r="BI111" s="2337">
        <v>1</v>
      </c>
      <c r="BJ111" s="2336">
        <v>1</v>
      </c>
      <c r="BK111" s="2337"/>
      <c r="BL111" s="2373">
        <v>1</v>
      </c>
      <c r="BM111" s="2337"/>
      <c r="BN111" s="2337"/>
      <c r="BO111" s="2411"/>
      <c r="BP111" s="2411"/>
    </row>
    <row r="112" spans="1:68" s="49" customFormat="1" ht="45.75" customHeight="1" thickBot="1">
      <c r="A112" s="2655"/>
      <c r="B112" s="2655"/>
      <c r="C112" s="2657"/>
      <c r="D112" s="250" t="s">
        <v>2016</v>
      </c>
      <c r="E112" s="150" t="s">
        <v>62</v>
      </c>
      <c r="F112" s="1654">
        <v>0.9</v>
      </c>
      <c r="G112" s="442" t="s">
        <v>2020</v>
      </c>
      <c r="H112" s="441" t="s">
        <v>1483</v>
      </c>
      <c r="I112" s="432">
        <f t="shared" si="47"/>
        <v>0.05555555555555555</v>
      </c>
      <c r="J112" s="442" t="s">
        <v>2163</v>
      </c>
      <c r="K112" s="443">
        <v>42005</v>
      </c>
      <c r="L112" s="443">
        <v>42369</v>
      </c>
      <c r="M112" s="371"/>
      <c r="N112" s="371"/>
      <c r="O112" s="1652"/>
      <c r="P112" s="371"/>
      <c r="Q112" s="371"/>
      <c r="R112" s="1652"/>
      <c r="S112" s="371"/>
      <c r="T112" s="371"/>
      <c r="U112" s="1652"/>
      <c r="V112" s="371"/>
      <c r="W112" s="371"/>
      <c r="X112" s="1652">
        <v>0.9</v>
      </c>
      <c r="Y112" s="1654">
        <v>0.9</v>
      </c>
      <c r="Z112" s="393">
        <v>0</v>
      </c>
      <c r="AA112" s="611"/>
      <c r="AB112" s="291"/>
      <c r="AC112" s="292"/>
      <c r="AD112" s="1544"/>
      <c r="AE112" s="1651"/>
      <c r="AF112" s="1311"/>
      <c r="AG112" s="1311"/>
      <c r="AH112" s="1371"/>
      <c r="AI112" s="1378"/>
      <c r="AJ112" s="1378"/>
      <c r="AK112" s="1378"/>
      <c r="AL112" s="1378"/>
      <c r="AM112" s="1692">
        <f t="shared" si="49"/>
        <v>0</v>
      </c>
      <c r="AN112" s="1699">
        <f t="shared" si="22"/>
        <v>0</v>
      </c>
      <c r="AO112" s="1692" t="s">
        <v>1090</v>
      </c>
      <c r="AP112" s="1699" t="s">
        <v>1090</v>
      </c>
      <c r="AQ112" s="1699" t="s">
        <v>1090</v>
      </c>
      <c r="AR112" s="1699">
        <v>0</v>
      </c>
      <c r="AS112" s="1692"/>
      <c r="AT112" s="1692"/>
      <c r="AU112" s="1692"/>
      <c r="AV112" s="1692"/>
      <c r="AW112" s="2084">
        <f t="shared" si="52"/>
        <v>0</v>
      </c>
      <c r="AX112" s="2085">
        <f t="shared" si="24"/>
        <v>0</v>
      </c>
      <c r="AY112" s="1989">
        <v>0</v>
      </c>
      <c r="AZ112" s="1990" t="s">
        <v>1090</v>
      </c>
      <c r="BA112" s="1989"/>
      <c r="BB112" s="2085">
        <v>0</v>
      </c>
      <c r="BC112" s="1989"/>
      <c r="BD112" s="1989"/>
      <c r="BE112" s="101"/>
      <c r="BF112" s="101"/>
      <c r="BG112" s="2339">
        <f t="shared" si="53"/>
        <v>0</v>
      </c>
      <c r="BH112" s="2373">
        <f t="shared" si="25"/>
        <v>0</v>
      </c>
      <c r="BI112" s="2337" t="s">
        <v>1090</v>
      </c>
      <c r="BJ112" s="2336" t="s">
        <v>1090</v>
      </c>
      <c r="BK112" s="2337"/>
      <c r="BL112" s="2373">
        <v>0</v>
      </c>
      <c r="BM112" s="2337"/>
      <c r="BN112" s="2337"/>
      <c r="BO112" s="2408"/>
      <c r="BP112" s="2408"/>
    </row>
    <row r="113" spans="1:68" s="49" customFormat="1" ht="39" thickBot="1">
      <c r="A113" s="2655"/>
      <c r="B113" s="2655"/>
      <c r="C113" s="2657"/>
      <c r="D113" s="250" t="s">
        <v>2017</v>
      </c>
      <c r="E113" s="150" t="s">
        <v>62</v>
      </c>
      <c r="F113" s="1654">
        <v>0.9</v>
      </c>
      <c r="G113" s="442" t="s">
        <v>2023</v>
      </c>
      <c r="H113" s="441" t="s">
        <v>1483</v>
      </c>
      <c r="I113" s="432">
        <f t="shared" si="47"/>
        <v>0.05555555555555555</v>
      </c>
      <c r="J113" s="442" t="s">
        <v>2163</v>
      </c>
      <c r="K113" s="443">
        <v>42005</v>
      </c>
      <c r="L113" s="443">
        <v>42369</v>
      </c>
      <c r="M113" s="371"/>
      <c r="N113" s="371"/>
      <c r="O113" s="1652"/>
      <c r="P113" s="371"/>
      <c r="Q113" s="371"/>
      <c r="R113" s="1652"/>
      <c r="S113" s="371"/>
      <c r="T113" s="371"/>
      <c r="U113" s="1652"/>
      <c r="V113" s="371"/>
      <c r="W113" s="371"/>
      <c r="X113" s="1652">
        <v>0.9</v>
      </c>
      <c r="Y113" s="1654">
        <v>0.9</v>
      </c>
      <c r="Z113" s="393">
        <v>0</v>
      </c>
      <c r="AA113" s="611"/>
      <c r="AB113" s="1378"/>
      <c r="AC113" s="1371"/>
      <c r="AD113" s="1509"/>
      <c r="AE113" s="1311"/>
      <c r="AF113" s="1311"/>
      <c r="AG113" s="1311"/>
      <c r="AH113" s="1371"/>
      <c r="AI113" s="1378"/>
      <c r="AJ113" s="1378"/>
      <c r="AK113" s="1378"/>
      <c r="AL113" s="1378"/>
      <c r="AM113" s="1692">
        <f t="shared" si="49"/>
        <v>0</v>
      </c>
      <c r="AN113" s="1699">
        <f t="shared" si="22"/>
        <v>0</v>
      </c>
      <c r="AO113" s="1692" t="s">
        <v>1090</v>
      </c>
      <c r="AP113" s="1699" t="s">
        <v>1090</v>
      </c>
      <c r="AQ113" s="1699" t="s">
        <v>1090</v>
      </c>
      <c r="AR113" s="1699">
        <v>0</v>
      </c>
      <c r="AS113" s="1692"/>
      <c r="AT113" s="1692"/>
      <c r="AU113" s="1692"/>
      <c r="AV113" s="1692"/>
      <c r="AW113" s="2084">
        <f t="shared" si="52"/>
        <v>0</v>
      </c>
      <c r="AX113" s="2085">
        <f t="shared" si="24"/>
        <v>0</v>
      </c>
      <c r="AY113" s="1989">
        <v>0</v>
      </c>
      <c r="AZ113" s="1990" t="s">
        <v>1090</v>
      </c>
      <c r="BA113" s="1989"/>
      <c r="BB113" s="2085">
        <v>0</v>
      </c>
      <c r="BC113" s="1989"/>
      <c r="BD113" s="1989"/>
      <c r="BE113" s="101"/>
      <c r="BF113" s="101"/>
      <c r="BG113" s="2339">
        <f t="shared" si="53"/>
        <v>0</v>
      </c>
      <c r="BH113" s="2373">
        <f t="shared" si="25"/>
        <v>0</v>
      </c>
      <c r="BI113" s="2337" t="s">
        <v>1090</v>
      </c>
      <c r="BJ113" s="2336" t="s">
        <v>1090</v>
      </c>
      <c r="BK113" s="2337"/>
      <c r="BL113" s="2373">
        <v>0</v>
      </c>
      <c r="BM113" s="2337"/>
      <c r="BN113" s="2337"/>
      <c r="BO113" s="2408"/>
      <c r="BP113" s="2408"/>
    </row>
    <row r="114" spans="1:68" s="49" customFormat="1" ht="36" customHeight="1" thickBot="1">
      <c r="A114" s="2655"/>
      <c r="B114" s="2655"/>
      <c r="C114" s="2657"/>
      <c r="D114" s="250" t="s">
        <v>2018</v>
      </c>
      <c r="E114" s="150" t="s">
        <v>62</v>
      </c>
      <c r="F114" s="1654">
        <v>0.25</v>
      </c>
      <c r="G114" s="442" t="s">
        <v>2022</v>
      </c>
      <c r="H114" s="441" t="s">
        <v>1483</v>
      </c>
      <c r="I114" s="432">
        <f t="shared" si="47"/>
        <v>0.05555555555555555</v>
      </c>
      <c r="J114" s="442" t="s">
        <v>2163</v>
      </c>
      <c r="K114" s="443">
        <v>42005</v>
      </c>
      <c r="L114" s="443">
        <v>42369</v>
      </c>
      <c r="M114" s="371"/>
      <c r="N114" s="371"/>
      <c r="O114" s="1652"/>
      <c r="P114" s="371"/>
      <c r="Q114" s="371"/>
      <c r="R114" s="1652"/>
      <c r="S114" s="371"/>
      <c r="T114" s="371"/>
      <c r="U114" s="1652"/>
      <c r="V114" s="371"/>
      <c r="W114" s="371"/>
      <c r="X114" s="1652">
        <v>0.25</v>
      </c>
      <c r="Y114" s="1654">
        <v>0.25</v>
      </c>
      <c r="Z114" s="393">
        <v>0</v>
      </c>
      <c r="AA114" s="97"/>
      <c r="AB114" s="1378"/>
      <c r="AC114" s="1371"/>
      <c r="AD114" s="1509"/>
      <c r="AE114" s="1311"/>
      <c r="AF114" s="1311"/>
      <c r="AG114" s="1311"/>
      <c r="AH114" s="1371"/>
      <c r="AI114" s="1378"/>
      <c r="AJ114" s="1378"/>
      <c r="AK114" s="1378"/>
      <c r="AL114" s="1378"/>
      <c r="AM114" s="1692">
        <f t="shared" si="49"/>
        <v>0</v>
      </c>
      <c r="AN114" s="1699">
        <f t="shared" si="22"/>
        <v>0</v>
      </c>
      <c r="AO114" s="1692" t="s">
        <v>1090</v>
      </c>
      <c r="AP114" s="1699" t="s">
        <v>1090</v>
      </c>
      <c r="AQ114" s="1699" t="s">
        <v>1090</v>
      </c>
      <c r="AR114" s="1699">
        <v>0</v>
      </c>
      <c r="AS114" s="1692"/>
      <c r="AT114" s="1692"/>
      <c r="AU114" s="1692"/>
      <c r="AV114" s="1692"/>
      <c r="AW114" s="2084">
        <f t="shared" si="52"/>
        <v>0</v>
      </c>
      <c r="AX114" s="2085">
        <f t="shared" si="24"/>
        <v>0</v>
      </c>
      <c r="AY114" s="1989">
        <v>0</v>
      </c>
      <c r="AZ114" s="1990" t="s">
        <v>1090</v>
      </c>
      <c r="BA114" s="1989"/>
      <c r="BB114" s="2085">
        <v>0</v>
      </c>
      <c r="BC114" s="1989"/>
      <c r="BD114" s="1989"/>
      <c r="BE114" s="101"/>
      <c r="BF114" s="101"/>
      <c r="BG114" s="2339">
        <f t="shared" si="53"/>
        <v>0</v>
      </c>
      <c r="BH114" s="2373">
        <f t="shared" si="25"/>
        <v>0</v>
      </c>
      <c r="BI114" s="2337" t="s">
        <v>1090</v>
      </c>
      <c r="BJ114" s="2336" t="s">
        <v>1090</v>
      </c>
      <c r="BK114" s="2337"/>
      <c r="BL114" s="2373">
        <v>0</v>
      </c>
      <c r="BM114" s="2337"/>
      <c r="BN114" s="2337"/>
      <c r="BO114" s="2408"/>
      <c r="BP114" s="2408"/>
    </row>
    <row r="115" spans="1:68" s="49" customFormat="1" ht="60" customHeight="1" thickBot="1">
      <c r="A115" s="2655"/>
      <c r="B115" s="2655"/>
      <c r="C115" s="2657"/>
      <c r="D115" s="293" t="s">
        <v>2019</v>
      </c>
      <c r="E115" s="150" t="s">
        <v>62</v>
      </c>
      <c r="F115" s="1655">
        <v>0.4</v>
      </c>
      <c r="G115" s="293" t="s">
        <v>2021</v>
      </c>
      <c r="H115" s="1944" t="s">
        <v>1483</v>
      </c>
      <c r="I115" s="432">
        <f t="shared" si="47"/>
        <v>0.05555555555555555</v>
      </c>
      <c r="J115" s="442" t="s">
        <v>2163</v>
      </c>
      <c r="K115" s="443">
        <v>42005</v>
      </c>
      <c r="L115" s="443">
        <v>42369</v>
      </c>
      <c r="M115" s="445"/>
      <c r="N115" s="445"/>
      <c r="O115" s="1653"/>
      <c r="P115" s="445"/>
      <c r="Q115" s="445"/>
      <c r="R115" s="1653"/>
      <c r="S115" s="445"/>
      <c r="T115" s="445"/>
      <c r="U115" s="1653"/>
      <c r="V115" s="445"/>
      <c r="W115" s="445"/>
      <c r="X115" s="1653">
        <v>0.4</v>
      </c>
      <c r="Y115" s="1655">
        <v>0.4</v>
      </c>
      <c r="Z115" s="393">
        <v>0</v>
      </c>
      <c r="AA115" s="611"/>
      <c r="AB115" s="291"/>
      <c r="AC115" s="1371"/>
      <c r="AD115" s="1509"/>
      <c r="AE115" s="1311"/>
      <c r="AF115" s="1311"/>
      <c r="AG115" s="1311"/>
      <c r="AH115" s="1371"/>
      <c r="AI115" s="1378"/>
      <c r="AJ115" s="1378"/>
      <c r="AK115" s="1378"/>
      <c r="AL115" s="1378"/>
      <c r="AM115" s="1692">
        <f t="shared" si="49"/>
        <v>0</v>
      </c>
      <c r="AN115" s="1699">
        <f t="shared" si="22"/>
        <v>0</v>
      </c>
      <c r="AO115" s="1692" t="s">
        <v>1090</v>
      </c>
      <c r="AP115" s="1699" t="s">
        <v>1090</v>
      </c>
      <c r="AQ115" s="1699" t="s">
        <v>1090</v>
      </c>
      <c r="AR115" s="1699">
        <v>0</v>
      </c>
      <c r="AS115" s="1692"/>
      <c r="AT115" s="1692"/>
      <c r="AU115" s="1692"/>
      <c r="AV115" s="1692"/>
      <c r="AW115" s="2084">
        <f t="shared" si="52"/>
        <v>0</v>
      </c>
      <c r="AX115" s="2085">
        <f t="shared" si="24"/>
        <v>0</v>
      </c>
      <c r="AY115" s="1989">
        <v>0</v>
      </c>
      <c r="AZ115" s="1990" t="s">
        <v>1090</v>
      </c>
      <c r="BA115" s="1989"/>
      <c r="BB115" s="2085">
        <v>0</v>
      </c>
      <c r="BC115" s="1989"/>
      <c r="BD115" s="1989"/>
      <c r="BE115" s="101"/>
      <c r="BF115" s="101"/>
      <c r="BG115" s="2339">
        <f t="shared" si="53"/>
        <v>0</v>
      </c>
      <c r="BH115" s="2373">
        <f t="shared" si="25"/>
        <v>0</v>
      </c>
      <c r="BI115" s="2337" t="s">
        <v>1090</v>
      </c>
      <c r="BJ115" s="2336" t="s">
        <v>1090</v>
      </c>
      <c r="BK115" s="2337"/>
      <c r="BL115" s="2373">
        <v>0</v>
      </c>
      <c r="BM115" s="2337"/>
      <c r="BN115" s="2337"/>
      <c r="BO115" s="2408"/>
      <c r="BP115" s="2408"/>
    </row>
    <row r="116" spans="1:68" s="49" customFormat="1" ht="26.25" thickBot="1">
      <c r="A116" s="2655"/>
      <c r="B116" s="2655"/>
      <c r="C116" s="2657"/>
      <c r="D116" s="250" t="s">
        <v>927</v>
      </c>
      <c r="E116" s="150" t="s">
        <v>338</v>
      </c>
      <c r="F116" s="442">
        <v>10</v>
      </c>
      <c r="G116" s="442" t="s">
        <v>928</v>
      </c>
      <c r="H116" s="441" t="s">
        <v>2804</v>
      </c>
      <c r="I116" s="432">
        <f t="shared" si="47"/>
        <v>0.05555555555555555</v>
      </c>
      <c r="J116" s="442" t="s">
        <v>929</v>
      </c>
      <c r="K116" s="443">
        <v>42125</v>
      </c>
      <c r="L116" s="446">
        <v>42308</v>
      </c>
      <c r="M116" s="371"/>
      <c r="N116" s="371"/>
      <c r="O116" s="2144">
        <v>1</v>
      </c>
      <c r="P116" s="2144">
        <v>1</v>
      </c>
      <c r="Q116" s="2144">
        <v>1</v>
      </c>
      <c r="R116" s="2144">
        <v>1</v>
      </c>
      <c r="S116" s="2144">
        <v>1</v>
      </c>
      <c r="T116" s="2144">
        <v>1</v>
      </c>
      <c r="U116" s="2144">
        <v>1</v>
      </c>
      <c r="V116" s="2144">
        <v>1</v>
      </c>
      <c r="W116" s="2144">
        <v>1</v>
      </c>
      <c r="X116" s="2144">
        <v>1</v>
      </c>
      <c r="Y116" s="444">
        <f t="shared" si="54"/>
        <v>10</v>
      </c>
      <c r="Z116" s="393">
        <v>0</v>
      </c>
      <c r="AA116" s="611" t="s">
        <v>1090</v>
      </c>
      <c r="AB116" s="1378">
        <f t="shared" si="19"/>
        <v>0</v>
      </c>
      <c r="AC116" s="1371">
        <f t="shared" si="20"/>
        <v>0</v>
      </c>
      <c r="AD116" s="1509">
        <v>0</v>
      </c>
      <c r="AE116" s="1311" t="s">
        <v>1090</v>
      </c>
      <c r="AF116" s="1311">
        <f t="shared" si="26"/>
        <v>0</v>
      </c>
      <c r="AG116" s="1311">
        <f t="shared" si="48"/>
        <v>0</v>
      </c>
      <c r="AH116" s="1371"/>
      <c r="AI116" s="1378"/>
      <c r="AJ116" s="1378"/>
      <c r="AK116" s="1378"/>
      <c r="AL116" s="1378"/>
      <c r="AM116" s="1692">
        <f t="shared" si="49"/>
        <v>2</v>
      </c>
      <c r="AN116" s="1699">
        <f t="shared" si="22"/>
        <v>1</v>
      </c>
      <c r="AO116" s="1692" t="s">
        <v>1090</v>
      </c>
      <c r="AP116" s="1699" t="s">
        <v>1090</v>
      </c>
      <c r="AQ116" s="1699" t="s">
        <v>1090</v>
      </c>
      <c r="AR116" s="1699">
        <v>0</v>
      </c>
      <c r="AS116" s="1692"/>
      <c r="AT116" s="1692"/>
      <c r="AU116" s="1692"/>
      <c r="AV116" s="1692"/>
      <c r="AW116" s="2084">
        <f t="shared" si="52"/>
        <v>4</v>
      </c>
      <c r="AX116" s="2085">
        <f t="shared" si="24"/>
        <v>1</v>
      </c>
      <c r="AY116" s="1989">
        <v>4</v>
      </c>
      <c r="AZ116" s="1990">
        <v>1</v>
      </c>
      <c r="BA116" s="1989"/>
      <c r="BB116" s="2085">
        <f>AY116/Y116</f>
        <v>0.4</v>
      </c>
      <c r="BC116" s="1989"/>
      <c r="BD116" s="1989"/>
      <c r="BE116" s="101"/>
      <c r="BF116" s="101"/>
      <c r="BG116" s="2339">
        <f t="shared" si="53"/>
        <v>6</v>
      </c>
      <c r="BH116" s="2373">
        <f t="shared" si="25"/>
        <v>1</v>
      </c>
      <c r="BI116" s="2337">
        <v>4</v>
      </c>
      <c r="BJ116" s="2336">
        <f>BI116/BG116</f>
        <v>0.6666666666666666</v>
      </c>
      <c r="BK116" s="2337"/>
      <c r="BL116" s="2373">
        <f>BI116/Y116</f>
        <v>0.4</v>
      </c>
      <c r="BM116" s="2337"/>
      <c r="BN116" s="2337"/>
      <c r="BO116" s="2408"/>
      <c r="BP116" s="2408"/>
    </row>
    <row r="117" spans="1:68" s="49" customFormat="1" ht="90" customHeight="1" thickBot="1">
      <c r="A117" s="2659"/>
      <c r="B117" s="2659"/>
      <c r="C117" s="2664"/>
      <c r="D117" s="250" t="s">
        <v>930</v>
      </c>
      <c r="E117" s="150" t="s">
        <v>931</v>
      </c>
      <c r="F117" s="341" t="s">
        <v>100</v>
      </c>
      <c r="G117" s="442" t="s">
        <v>932</v>
      </c>
      <c r="H117" s="441" t="s">
        <v>922</v>
      </c>
      <c r="I117" s="432">
        <f t="shared" si="47"/>
        <v>0.05555555555555555</v>
      </c>
      <c r="J117" s="129" t="s">
        <v>933</v>
      </c>
      <c r="K117" s="447">
        <v>42005</v>
      </c>
      <c r="L117" s="443">
        <v>42368</v>
      </c>
      <c r="M117" s="372"/>
      <c r="N117" s="371"/>
      <c r="O117" s="371"/>
      <c r="P117" s="371"/>
      <c r="Q117" s="371"/>
      <c r="R117" s="371"/>
      <c r="S117" s="371"/>
      <c r="T117" s="371"/>
      <c r="U117" s="371"/>
      <c r="V117" s="371"/>
      <c r="W117" s="371"/>
      <c r="X117" s="371"/>
      <c r="Y117" s="444" t="s">
        <v>100</v>
      </c>
      <c r="Z117" s="393">
        <v>0</v>
      </c>
      <c r="AA117" s="611" t="s">
        <v>1090</v>
      </c>
      <c r="AB117" s="1378">
        <f t="shared" si="19"/>
        <v>0</v>
      </c>
      <c r="AC117" s="1371">
        <f t="shared" si="20"/>
        <v>0</v>
      </c>
      <c r="AD117" s="1509">
        <v>0</v>
      </c>
      <c r="AE117" s="1311" t="s">
        <v>1090</v>
      </c>
      <c r="AF117" s="1311" t="s">
        <v>1090</v>
      </c>
      <c r="AG117" s="1311" t="str">
        <f>AF117</f>
        <v>-</v>
      </c>
      <c r="AH117" s="1371"/>
      <c r="AI117" s="1378"/>
      <c r="AJ117" s="1378"/>
      <c r="AK117" s="1378"/>
      <c r="AL117" s="1378"/>
      <c r="AM117" s="1692">
        <f t="shared" si="49"/>
        <v>0</v>
      </c>
      <c r="AN117" s="1699">
        <f t="shared" si="22"/>
        <v>0</v>
      </c>
      <c r="AO117" s="1692" t="s">
        <v>1090</v>
      </c>
      <c r="AP117" s="1699" t="s">
        <v>1090</v>
      </c>
      <c r="AQ117" s="1699" t="s">
        <v>1090</v>
      </c>
      <c r="AR117" s="1699" t="str">
        <f t="shared" si="23"/>
        <v>-</v>
      </c>
      <c r="AS117" s="1692"/>
      <c r="AT117" s="1692"/>
      <c r="AU117" s="1692" t="s">
        <v>2365</v>
      </c>
      <c r="AV117" s="1692"/>
      <c r="AW117" s="2084">
        <f t="shared" si="52"/>
        <v>0</v>
      </c>
      <c r="AX117" s="2085">
        <f t="shared" si="24"/>
        <v>0</v>
      </c>
      <c r="AY117" s="1989" t="s">
        <v>1090</v>
      </c>
      <c r="AZ117" s="1990" t="s">
        <v>1090</v>
      </c>
      <c r="BA117" s="1989"/>
      <c r="BB117" s="2085" t="s">
        <v>1090</v>
      </c>
      <c r="BC117" s="1989"/>
      <c r="BD117" s="1989"/>
      <c r="BE117" s="101"/>
      <c r="BF117" s="101"/>
      <c r="BG117" s="2339">
        <f t="shared" si="53"/>
        <v>0</v>
      </c>
      <c r="BH117" s="2373">
        <f t="shared" si="25"/>
        <v>0</v>
      </c>
      <c r="BI117" s="2337" t="s">
        <v>1090</v>
      </c>
      <c r="BJ117" s="2336" t="s">
        <v>1090</v>
      </c>
      <c r="BK117" s="2337"/>
      <c r="BL117" s="2373" t="s">
        <v>1090</v>
      </c>
      <c r="BM117" s="2337"/>
      <c r="BN117" s="2337"/>
      <c r="BO117" s="2408"/>
      <c r="BP117" s="2408"/>
    </row>
    <row r="118" spans="1:68" s="606" customFormat="1" ht="20.1" customHeight="1" thickBot="1">
      <c r="A118" s="2652" t="s">
        <v>130</v>
      </c>
      <c r="B118" s="2653"/>
      <c r="C118" s="2653"/>
      <c r="D118" s="2654"/>
      <c r="E118" s="1757"/>
      <c r="F118" s="1757"/>
      <c r="G118" s="1757"/>
      <c r="H118" s="1757"/>
      <c r="I118" s="86">
        <f>+SUM(I100:I117)</f>
        <v>0.9970444444444447</v>
      </c>
      <c r="J118" s="1757"/>
      <c r="K118" s="1757"/>
      <c r="L118" s="1757"/>
      <c r="M118" s="1757"/>
      <c r="N118" s="1757"/>
      <c r="O118" s="1757"/>
      <c r="P118" s="1757"/>
      <c r="Q118" s="1757"/>
      <c r="R118" s="1757"/>
      <c r="S118" s="1757"/>
      <c r="T118" s="1757"/>
      <c r="U118" s="1757"/>
      <c r="V118" s="1757"/>
      <c r="W118" s="1757"/>
      <c r="X118" s="1757"/>
      <c r="Y118" s="87"/>
      <c r="Z118" s="88">
        <f>SUM(Z100:Z117)</f>
        <v>0</v>
      </c>
      <c r="AA118" s="1758"/>
      <c r="AB118" s="1495"/>
      <c r="AC118" s="1496">
        <f>AVERAGEIF(AC100:AC117,"&gt;0")</f>
        <v>1</v>
      </c>
      <c r="AD118" s="1511"/>
      <c r="AE118" s="1494">
        <f>AVERAGE(AE100:AE117)</f>
        <v>1</v>
      </c>
      <c r="AF118" s="1494"/>
      <c r="AG118" s="1494">
        <f>AVERAGE(AG100:AG117)</f>
        <v>0.15384615384615385</v>
      </c>
      <c r="AH118" s="1324"/>
      <c r="AI118" s="1324"/>
      <c r="AJ118" s="1324"/>
      <c r="AK118" s="1324"/>
      <c r="AL118" s="1324"/>
      <c r="AM118" s="1325"/>
      <c r="AN118" s="1875">
        <f>AVERAGEIF(AN111:AN117,"&gt;0")</f>
        <v>1</v>
      </c>
      <c r="AO118" s="1325"/>
      <c r="AP118" s="1877" t="e">
        <f>AVERAGE(AP100:AP117)</f>
        <v>#DIV/0!</v>
      </c>
      <c r="AQ118" s="1325"/>
      <c r="AR118" s="1877">
        <f>AVERAGE(AR100:AR117)</f>
        <v>0.375</v>
      </c>
      <c r="AS118" s="1325"/>
      <c r="AT118" s="1325"/>
      <c r="AU118" s="1325"/>
      <c r="AV118" s="1325"/>
      <c r="AW118" s="1325"/>
      <c r="AX118" s="1878">
        <v>1</v>
      </c>
      <c r="AY118" s="1325"/>
      <c r="AZ118" s="2319">
        <f>AVERAGE(AZ100:AZ117)</f>
        <v>1</v>
      </c>
      <c r="BA118" s="1325"/>
      <c r="BB118" s="2319">
        <f>AVERAGE(BB100:BB117)</f>
        <v>0.46687500000000004</v>
      </c>
      <c r="BC118" s="1325"/>
      <c r="BD118" s="1325"/>
      <c r="BE118" s="1325"/>
      <c r="BF118" s="1325"/>
      <c r="BG118" s="1325"/>
      <c r="BH118" s="1878">
        <v>1</v>
      </c>
      <c r="BI118" s="1325"/>
      <c r="BJ118" s="1557">
        <f>AVERAGE(BJ100:BJ117)</f>
        <v>0.9666666666666666</v>
      </c>
      <c r="BK118" s="1325"/>
      <c r="BL118" s="2319">
        <f>AVERAGE(BL100:BL117)</f>
        <v>0.49812500000000004</v>
      </c>
      <c r="BM118" s="1325"/>
      <c r="BN118" s="1325"/>
      <c r="BO118" s="1325"/>
      <c r="BP118" s="1325"/>
    </row>
    <row r="119" spans="1:68" s="606" customFormat="1" ht="20.1" customHeight="1" thickBot="1">
      <c r="A119" s="2660" t="s">
        <v>290</v>
      </c>
      <c r="B119" s="2661"/>
      <c r="C119" s="2661"/>
      <c r="D119" s="2662"/>
      <c r="E119" s="219"/>
      <c r="F119" s="219"/>
      <c r="G119" s="219"/>
      <c r="H119" s="1772"/>
      <c r="I119" s="221">
        <f>+(I118+I99+I95+I72)/4</f>
        <v>0.9987199855699858</v>
      </c>
      <c r="J119" s="1772"/>
      <c r="K119" s="1772"/>
      <c r="L119" s="1772"/>
      <c r="M119" s="1772"/>
      <c r="N119" s="1772"/>
      <c r="O119" s="1772"/>
      <c r="P119" s="1772"/>
      <c r="Q119" s="1772"/>
      <c r="R119" s="1772"/>
      <c r="S119" s="1772"/>
      <c r="T119" s="1772"/>
      <c r="U119" s="1772"/>
      <c r="V119" s="1772"/>
      <c r="W119" s="1772"/>
      <c r="X119" s="1772"/>
      <c r="Y119" s="222"/>
      <c r="Z119" s="223">
        <f>SUM(Z95,Z99,Z118,Z72)</f>
        <v>0</v>
      </c>
      <c r="AA119" s="1773"/>
      <c r="AB119" s="1765"/>
      <c r="AC119" s="1342">
        <f>AVERAGE(AC118,AC99,AC95,AC72)</f>
        <v>1</v>
      </c>
      <c r="AD119" s="1513"/>
      <c r="AE119" s="1312" t="e">
        <f>AVERAGE(AE118,AE99,AE95,AE72)</f>
        <v>#DIV/0!</v>
      </c>
      <c r="AF119" s="1312"/>
      <c r="AG119" s="1312">
        <f>AVERAGE(AG118,AG99,AG95,AG72)</f>
        <v>0.18794855144855147</v>
      </c>
      <c r="AH119" s="1765"/>
      <c r="AI119" s="1765"/>
      <c r="AJ119" s="1765"/>
      <c r="AK119" s="1765"/>
      <c r="AL119" s="1765"/>
      <c r="AM119" s="1765"/>
      <c r="AN119" s="1342">
        <f>AVERAGE(AN118,AN99,AN95,AN72)</f>
        <v>1</v>
      </c>
      <c r="AO119" s="1765"/>
      <c r="AP119" s="1342" t="e">
        <f>AVERAGE(AP118,AP99,AP95,AP72)</f>
        <v>#DIV/0!</v>
      </c>
      <c r="AQ119" s="1765"/>
      <c r="AR119" s="1342">
        <f>AVERAGE(AR118,AR99,AR95,AR72)</f>
        <v>0.266644703815261</v>
      </c>
      <c r="AS119" s="1765"/>
      <c r="AT119" s="1765"/>
      <c r="AU119" s="1765"/>
      <c r="AV119" s="1765"/>
      <c r="AW119" s="1765"/>
      <c r="AX119" s="1312">
        <v>1</v>
      </c>
      <c r="AY119" s="1765"/>
      <c r="AZ119" s="1342">
        <f>AVERAGE(AZ118,AZ99,AZ95,AZ72)</f>
        <v>1</v>
      </c>
      <c r="BA119" s="1765"/>
      <c r="BB119" s="2320">
        <f>AVERAGE(BB118,BB99,BB95,BB72)</f>
        <v>0.5258998466810967</v>
      </c>
      <c r="BC119" s="1765"/>
      <c r="BD119" s="1991"/>
      <c r="BE119" s="1991"/>
      <c r="BF119" s="1991"/>
      <c r="BG119" s="2326"/>
      <c r="BH119" s="1312">
        <v>1</v>
      </c>
      <c r="BI119" s="2326"/>
      <c r="BJ119" s="1546">
        <f>AVERAGE(BJ118,BJ99,BJ95,BJ72)</f>
        <v>0.9835925039872409</v>
      </c>
      <c r="BK119" s="2326"/>
      <c r="BL119" s="1546">
        <f>AVERAGE(BL118,BL99,BL95,BL72)</f>
        <v>0.6074070632705502</v>
      </c>
      <c r="BM119" s="2326"/>
      <c r="BN119" s="2326"/>
      <c r="BO119" s="2326"/>
      <c r="BP119" s="2326"/>
    </row>
    <row r="120" spans="1:68" s="3" customFormat="1" ht="20.1" customHeight="1" thickBot="1">
      <c r="A120" s="164"/>
      <c r="B120" s="165"/>
      <c r="C120" s="166"/>
      <c r="D120" s="166"/>
      <c r="E120" s="166"/>
      <c r="F120" s="267"/>
      <c r="G120" s="166"/>
      <c r="H120" s="166"/>
      <c r="I120" s="268"/>
      <c r="J120" s="166"/>
      <c r="K120" s="269"/>
      <c r="L120" s="269"/>
      <c r="M120" s="166"/>
      <c r="N120" s="166"/>
      <c r="O120" s="166"/>
      <c r="P120" s="166"/>
      <c r="Q120" s="166"/>
      <c r="R120" s="166"/>
      <c r="S120" s="166"/>
      <c r="T120" s="166"/>
      <c r="U120" s="166"/>
      <c r="V120" s="166"/>
      <c r="W120" s="166"/>
      <c r="X120" s="166"/>
      <c r="Y120" s="270"/>
      <c r="Z120" s="271" t="e">
        <f>SUM(Z119,#REF!,Z54,Z24)</f>
        <v>#REF!</v>
      </c>
      <c r="AA120" s="166"/>
      <c r="AB120" s="1547"/>
      <c r="AC120" s="1548" t="e">
        <f>AVERAGE(AC119,#REF!,AC54,AC24)</f>
        <v>#REF!</v>
      </c>
      <c r="AD120" s="1530"/>
      <c r="AE120" s="1529" t="e">
        <f>AVERAGE(AE119,#REF!,AE54,AE24)</f>
        <v>#REF!</v>
      </c>
      <c r="AF120" s="1529"/>
      <c r="AG120" s="1529" t="e">
        <f>AVERAGE(AG119,#REF!,AG54,AG24)</f>
        <v>#REF!</v>
      </c>
      <c r="AH120" s="1330"/>
      <c r="AI120" s="1330"/>
      <c r="AJ120" s="1330"/>
      <c r="AK120" s="1330"/>
      <c r="AL120" s="1330"/>
      <c r="AM120" s="1330"/>
      <c r="AN120" s="1950">
        <f>AVERAGE(AN119,AN54)</f>
        <v>1</v>
      </c>
      <c r="AO120" s="1330"/>
      <c r="AP120" s="1950" t="e">
        <f>AVERAGE(AP119,AP24)</f>
        <v>#DIV/0!</v>
      </c>
      <c r="AQ120" s="1330"/>
      <c r="AR120" s="1950">
        <f>AVERAGE(AR119,AR24)</f>
        <v>0.2333223519076305</v>
      </c>
      <c r="AS120" s="1330"/>
      <c r="AT120" s="1330"/>
      <c r="AU120" s="1330"/>
      <c r="AV120" s="1330"/>
      <c r="AW120" s="1330"/>
      <c r="AX120" s="2192">
        <v>1</v>
      </c>
      <c r="AY120" s="1330"/>
      <c r="AZ120" s="2087">
        <f>AVERAGE(AZ119,AZ54,AZ24)</f>
        <v>0.875</v>
      </c>
      <c r="BA120" s="1330"/>
      <c r="BB120" s="2087">
        <f>AVERAGE(BB119,BB54,BB24)</f>
        <v>0.35669992334054834</v>
      </c>
      <c r="BC120" s="1330"/>
      <c r="BD120" s="1330"/>
      <c r="BE120" s="1330"/>
      <c r="BF120" s="1330"/>
      <c r="BG120" s="1330"/>
      <c r="BH120" s="2192">
        <v>1</v>
      </c>
      <c r="BI120" s="1330"/>
      <c r="BJ120" s="2442">
        <f>AVERAGE(BJ119,BJ54,BJ24)</f>
        <v>0.9945308346624137</v>
      </c>
      <c r="BK120" s="1330"/>
      <c r="BL120" s="2509">
        <f>AVERAGE(BL119,BL54,BL24)</f>
        <v>0.5913579099790723</v>
      </c>
      <c r="BM120" s="1330"/>
      <c r="BN120" s="1330"/>
      <c r="BO120" s="1330"/>
      <c r="BP120" s="1330"/>
    </row>
    <row r="121" spans="25:26" ht="15">
      <c r="Y121" s="1341" t="s">
        <v>1508</v>
      </c>
      <c r="Z121" s="561">
        <f>SUM(Z16,Z17)</f>
        <v>209456620</v>
      </c>
    </row>
    <row r="122" ht="15">
      <c r="B122" s="448"/>
    </row>
    <row r="123" ht="15">
      <c r="B123" s="448"/>
    </row>
  </sheetData>
  <mergeCells count="88">
    <mergeCell ref="BG13:BP13"/>
    <mergeCell ref="BG26:BM26"/>
    <mergeCell ref="BG49:BP49"/>
    <mergeCell ref="BG57:BP57"/>
    <mergeCell ref="B60:B71"/>
    <mergeCell ref="C60:C67"/>
    <mergeCell ref="C68:C69"/>
    <mergeCell ref="C70:C71"/>
    <mergeCell ref="A57:D57"/>
    <mergeCell ref="E57:AA57"/>
    <mergeCell ref="AB57:AL57"/>
    <mergeCell ref="A60:A71"/>
    <mergeCell ref="AB49:AL49"/>
    <mergeCell ref="A53:D53"/>
    <mergeCell ref="A54:D54"/>
    <mergeCell ref="A55:AA55"/>
    <mergeCell ref="G99:H99"/>
    <mergeCell ref="A72:D72"/>
    <mergeCell ref="A73:A93"/>
    <mergeCell ref="B73:B93"/>
    <mergeCell ref="C78:C81"/>
    <mergeCell ref="C82:C83"/>
    <mergeCell ref="C84:C93"/>
    <mergeCell ref="C73:C77"/>
    <mergeCell ref="A95:D95"/>
    <mergeCell ref="A96:A98"/>
    <mergeCell ref="B96:B98"/>
    <mergeCell ref="C96:C98"/>
    <mergeCell ref="A99:D99"/>
    <mergeCell ref="A119:D119"/>
    <mergeCell ref="A100:A117"/>
    <mergeCell ref="B100:B117"/>
    <mergeCell ref="C100:C104"/>
    <mergeCell ref="C105:C108"/>
    <mergeCell ref="C109:C117"/>
    <mergeCell ref="A118:D118"/>
    <mergeCell ref="A56:AA56"/>
    <mergeCell ref="A49:D49"/>
    <mergeCell ref="E49:AA49"/>
    <mergeCell ref="A7:AA7"/>
    <mergeCell ref="AB7:AL9"/>
    <mergeCell ref="A11:D11"/>
    <mergeCell ref="E11:AA11"/>
    <mergeCell ref="AB11:AL11"/>
    <mergeCell ref="A8:AA8"/>
    <mergeCell ref="A9:AA9"/>
    <mergeCell ref="A46:D46"/>
    <mergeCell ref="A47:D47"/>
    <mergeCell ref="A48:AA48"/>
    <mergeCell ref="A28:A45"/>
    <mergeCell ref="B28:B45"/>
    <mergeCell ref="C28:C32"/>
    <mergeCell ref="C33:C34"/>
    <mergeCell ref="C35:C38"/>
    <mergeCell ref="C39:C41"/>
    <mergeCell ref="C42:C45"/>
    <mergeCell ref="A13:D13"/>
    <mergeCell ref="E13:AA13"/>
    <mergeCell ref="AB13:AL13"/>
    <mergeCell ref="A23:D23"/>
    <mergeCell ref="A24:D24"/>
    <mergeCell ref="A26:D26"/>
    <mergeCell ref="E26:AA26"/>
    <mergeCell ref="AB26:AL26"/>
    <mergeCell ref="A16:A22"/>
    <mergeCell ref="B16:B22"/>
    <mergeCell ref="C16:C18"/>
    <mergeCell ref="C19:C21"/>
    <mergeCell ref="A25:AA25"/>
    <mergeCell ref="A1:C4"/>
    <mergeCell ref="A5:AA5"/>
    <mergeCell ref="AB5:AL6"/>
    <mergeCell ref="D1:BC2"/>
    <mergeCell ref="D3:BC4"/>
    <mergeCell ref="AM5:AV6"/>
    <mergeCell ref="A6:AA6"/>
    <mergeCell ref="AM11:AV11"/>
    <mergeCell ref="AM13:AV13"/>
    <mergeCell ref="AW5:BF9"/>
    <mergeCell ref="AW11:BF11"/>
    <mergeCell ref="AW13:BF13"/>
    <mergeCell ref="AM7:AV9"/>
    <mergeCell ref="AW57:BF57"/>
    <mergeCell ref="AW26:BC26"/>
    <mergeCell ref="AM49:AV49"/>
    <mergeCell ref="AM26:AV26"/>
    <mergeCell ref="AW49:BF49"/>
    <mergeCell ref="AM57:AV57"/>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5"/>
  <sheetViews>
    <sheetView zoomScale="90" zoomScaleNormal="90" workbookViewId="0" topLeftCell="K1">
      <selection activeCell="D23" sqref="D23"/>
    </sheetView>
  </sheetViews>
  <sheetFormatPr defaultColWidth="12.57421875" defaultRowHeight="15"/>
  <cols>
    <col min="1" max="1" width="7.140625" style="830" customWidth="1"/>
    <col min="2" max="2" width="37.140625" style="831" customWidth="1"/>
    <col min="3" max="3" width="27.140625" style="830" customWidth="1"/>
    <col min="4" max="4" width="42.57421875" style="830" customWidth="1"/>
    <col min="5" max="5" width="15.7109375" style="830" customWidth="1"/>
    <col min="6" max="6" width="14.00390625" style="830" customWidth="1"/>
    <col min="7" max="7" width="18.28125" style="830" customWidth="1"/>
    <col min="8" max="8" width="19.8515625" style="830" customWidth="1"/>
    <col min="9" max="9" width="12.8515625" style="830" customWidth="1"/>
    <col min="10" max="10" width="43.140625" style="830" customWidth="1"/>
    <col min="11" max="11" width="11.8515625" style="830" customWidth="1"/>
    <col min="12" max="12" width="12.421875" style="830" customWidth="1"/>
    <col min="13" max="24" width="5.00390625" style="830" customWidth="1"/>
    <col min="25" max="25" width="14.140625" style="1288" customWidth="1"/>
    <col min="26" max="26" width="22.8515625" style="830" customWidth="1"/>
    <col min="27" max="27" width="22.00390625" style="830" customWidth="1"/>
    <col min="28" max="28" width="12.57421875" style="830" hidden="1" customWidth="1"/>
    <col min="29" max="29" width="12.57421875" style="1359" hidden="1" customWidth="1"/>
    <col min="30" max="30" width="12.57421875" style="1576" hidden="1" customWidth="1"/>
    <col min="31" max="33" width="12.57421875" style="1359" hidden="1" customWidth="1"/>
    <col min="34" max="36" width="12.57421875" style="830" hidden="1" customWidth="1"/>
    <col min="37" max="37" width="22.8515625" style="1460" hidden="1" customWidth="1"/>
    <col min="38" max="46" width="12.57421875" style="830" hidden="1" customWidth="1"/>
    <col min="47" max="47" width="29.421875" style="830" hidden="1" customWidth="1"/>
    <col min="48" max="58" width="12.57421875" style="830" hidden="1" customWidth="1"/>
    <col min="59" max="66" width="12.57421875" style="830" customWidth="1"/>
    <col min="67" max="67" width="22.8515625" style="830" customWidth="1"/>
    <col min="68" max="242" width="12.57421875" style="830" customWidth="1"/>
    <col min="243" max="243" width="7.140625" style="830" customWidth="1"/>
    <col min="244" max="244" width="37.140625" style="830" customWidth="1"/>
    <col min="245" max="245" width="27.140625" style="830" customWidth="1"/>
    <col min="246" max="246" width="37.28125" style="830" customWidth="1"/>
    <col min="247" max="247" width="15.7109375" style="830" customWidth="1"/>
    <col min="248" max="248" width="14.00390625" style="830" customWidth="1"/>
    <col min="249" max="249" width="18.28125" style="830" customWidth="1"/>
    <col min="250" max="250" width="19.8515625" style="830" customWidth="1"/>
    <col min="251" max="251" width="12.8515625" style="830" customWidth="1"/>
    <col min="252" max="252" width="43.140625" style="830" customWidth="1"/>
    <col min="253" max="253" width="11.8515625" style="830" customWidth="1"/>
    <col min="254" max="254" width="12.421875" style="830" customWidth="1"/>
    <col min="255" max="266" width="5.00390625" style="830" customWidth="1"/>
    <col min="267" max="267" width="14.140625" style="830" customWidth="1"/>
    <col min="268" max="268" width="22.8515625" style="830" customWidth="1"/>
    <col min="269" max="269" width="24.421875" style="830" customWidth="1"/>
    <col min="270" max="311" width="12.57421875" style="830" hidden="1" customWidth="1"/>
    <col min="312" max="498" width="12.57421875" style="830" customWidth="1"/>
    <col min="499" max="499" width="7.140625" style="830" customWidth="1"/>
    <col min="500" max="500" width="37.140625" style="830" customWidth="1"/>
    <col min="501" max="501" width="27.140625" style="830" customWidth="1"/>
    <col min="502" max="502" width="37.28125" style="830" customWidth="1"/>
    <col min="503" max="503" width="15.7109375" style="830" customWidth="1"/>
    <col min="504" max="504" width="14.00390625" style="830" customWidth="1"/>
    <col min="505" max="505" width="18.28125" style="830" customWidth="1"/>
    <col min="506" max="506" width="19.8515625" style="830" customWidth="1"/>
    <col min="507" max="507" width="12.8515625" style="830" customWidth="1"/>
    <col min="508" max="508" width="43.140625" style="830" customWidth="1"/>
    <col min="509" max="509" width="11.8515625" style="830" customWidth="1"/>
    <col min="510" max="510" width="12.421875" style="830" customWidth="1"/>
    <col min="511" max="522" width="5.00390625" style="830" customWidth="1"/>
    <col min="523" max="523" width="14.140625" style="830" customWidth="1"/>
    <col min="524" max="524" width="22.8515625" style="830" customWidth="1"/>
    <col min="525" max="525" width="24.421875" style="830" customWidth="1"/>
    <col min="526" max="567" width="12.57421875" style="830" hidden="1" customWidth="1"/>
    <col min="568" max="754" width="12.57421875" style="830" customWidth="1"/>
    <col min="755" max="755" width="7.140625" style="830" customWidth="1"/>
    <col min="756" max="756" width="37.140625" style="830" customWidth="1"/>
    <col min="757" max="757" width="27.140625" style="830" customWidth="1"/>
    <col min="758" max="758" width="37.28125" style="830" customWidth="1"/>
    <col min="759" max="759" width="15.7109375" style="830" customWidth="1"/>
    <col min="760" max="760" width="14.00390625" style="830" customWidth="1"/>
    <col min="761" max="761" width="18.28125" style="830" customWidth="1"/>
    <col min="762" max="762" width="19.8515625" style="830" customWidth="1"/>
    <col min="763" max="763" width="12.8515625" style="830" customWidth="1"/>
    <col min="764" max="764" width="43.140625" style="830" customWidth="1"/>
    <col min="765" max="765" width="11.8515625" style="830" customWidth="1"/>
    <col min="766" max="766" width="12.421875" style="830" customWidth="1"/>
    <col min="767" max="778" width="5.00390625" style="830" customWidth="1"/>
    <col min="779" max="779" width="14.140625" style="830" customWidth="1"/>
    <col min="780" max="780" width="22.8515625" style="830" customWidth="1"/>
    <col min="781" max="781" width="24.421875" style="830" customWidth="1"/>
    <col min="782" max="823" width="12.57421875" style="830" hidden="1" customWidth="1"/>
    <col min="824" max="1010" width="12.57421875" style="830" customWidth="1"/>
    <col min="1011" max="1011" width="7.140625" style="830" customWidth="1"/>
    <col min="1012" max="1012" width="37.140625" style="830" customWidth="1"/>
    <col min="1013" max="1013" width="27.140625" style="830" customWidth="1"/>
    <col min="1014" max="1014" width="37.28125" style="830" customWidth="1"/>
    <col min="1015" max="1015" width="15.7109375" style="830" customWidth="1"/>
    <col min="1016" max="1016" width="14.00390625" style="830" customWidth="1"/>
    <col min="1017" max="1017" width="18.28125" style="830" customWidth="1"/>
    <col min="1018" max="1018" width="19.8515625" style="830" customWidth="1"/>
    <col min="1019" max="1019" width="12.8515625" style="830" customWidth="1"/>
    <col min="1020" max="1020" width="43.140625" style="830" customWidth="1"/>
    <col min="1021" max="1021" width="11.8515625" style="830" customWidth="1"/>
    <col min="1022" max="1022" width="12.421875" style="830" customWidth="1"/>
    <col min="1023" max="1034" width="5.00390625" style="830" customWidth="1"/>
    <col min="1035" max="1035" width="14.140625" style="830" customWidth="1"/>
    <col min="1036" max="1036" width="22.8515625" style="830" customWidth="1"/>
    <col min="1037" max="1037" width="24.421875" style="830" customWidth="1"/>
    <col min="1038" max="1079" width="12.57421875" style="830" hidden="1" customWidth="1"/>
    <col min="1080" max="1266" width="12.57421875" style="830" customWidth="1"/>
    <col min="1267" max="1267" width="7.140625" style="830" customWidth="1"/>
    <col min="1268" max="1268" width="37.140625" style="830" customWidth="1"/>
    <col min="1269" max="1269" width="27.140625" style="830" customWidth="1"/>
    <col min="1270" max="1270" width="37.28125" style="830" customWidth="1"/>
    <col min="1271" max="1271" width="15.7109375" style="830" customWidth="1"/>
    <col min="1272" max="1272" width="14.00390625" style="830" customWidth="1"/>
    <col min="1273" max="1273" width="18.28125" style="830" customWidth="1"/>
    <col min="1274" max="1274" width="19.8515625" style="830" customWidth="1"/>
    <col min="1275" max="1275" width="12.8515625" style="830" customWidth="1"/>
    <col min="1276" max="1276" width="43.140625" style="830" customWidth="1"/>
    <col min="1277" max="1277" width="11.8515625" style="830" customWidth="1"/>
    <col min="1278" max="1278" width="12.421875" style="830" customWidth="1"/>
    <col min="1279" max="1290" width="5.00390625" style="830" customWidth="1"/>
    <col min="1291" max="1291" width="14.140625" style="830" customWidth="1"/>
    <col min="1292" max="1292" width="22.8515625" style="830" customWidth="1"/>
    <col min="1293" max="1293" width="24.421875" style="830" customWidth="1"/>
    <col min="1294" max="1335" width="12.57421875" style="830" hidden="1" customWidth="1"/>
    <col min="1336" max="1522" width="12.57421875" style="830" customWidth="1"/>
    <col min="1523" max="1523" width="7.140625" style="830" customWidth="1"/>
    <col min="1524" max="1524" width="37.140625" style="830" customWidth="1"/>
    <col min="1525" max="1525" width="27.140625" style="830" customWidth="1"/>
    <col min="1526" max="1526" width="37.28125" style="830" customWidth="1"/>
    <col min="1527" max="1527" width="15.7109375" style="830" customWidth="1"/>
    <col min="1528" max="1528" width="14.00390625" style="830" customWidth="1"/>
    <col min="1529" max="1529" width="18.28125" style="830" customWidth="1"/>
    <col min="1530" max="1530" width="19.8515625" style="830" customWidth="1"/>
    <col min="1531" max="1531" width="12.8515625" style="830" customWidth="1"/>
    <col min="1532" max="1532" width="43.140625" style="830" customWidth="1"/>
    <col min="1533" max="1533" width="11.8515625" style="830" customWidth="1"/>
    <col min="1534" max="1534" width="12.421875" style="830" customWidth="1"/>
    <col min="1535" max="1546" width="5.00390625" style="830" customWidth="1"/>
    <col min="1547" max="1547" width="14.140625" style="830" customWidth="1"/>
    <col min="1548" max="1548" width="22.8515625" style="830" customWidth="1"/>
    <col min="1549" max="1549" width="24.421875" style="830" customWidth="1"/>
    <col min="1550" max="1591" width="12.57421875" style="830" hidden="1" customWidth="1"/>
    <col min="1592" max="1778" width="12.57421875" style="830" customWidth="1"/>
    <col min="1779" max="1779" width="7.140625" style="830" customWidth="1"/>
    <col min="1780" max="1780" width="37.140625" style="830" customWidth="1"/>
    <col min="1781" max="1781" width="27.140625" style="830" customWidth="1"/>
    <col min="1782" max="1782" width="37.28125" style="830" customWidth="1"/>
    <col min="1783" max="1783" width="15.7109375" style="830" customWidth="1"/>
    <col min="1784" max="1784" width="14.00390625" style="830" customWidth="1"/>
    <col min="1785" max="1785" width="18.28125" style="830" customWidth="1"/>
    <col min="1786" max="1786" width="19.8515625" style="830" customWidth="1"/>
    <col min="1787" max="1787" width="12.8515625" style="830" customWidth="1"/>
    <col min="1788" max="1788" width="43.140625" style="830" customWidth="1"/>
    <col min="1789" max="1789" width="11.8515625" style="830" customWidth="1"/>
    <col min="1790" max="1790" width="12.421875" style="830" customWidth="1"/>
    <col min="1791" max="1802" width="5.00390625" style="830" customWidth="1"/>
    <col min="1803" max="1803" width="14.140625" style="830" customWidth="1"/>
    <col min="1804" max="1804" width="22.8515625" style="830" customWidth="1"/>
    <col min="1805" max="1805" width="24.421875" style="830" customWidth="1"/>
    <col min="1806" max="1847" width="12.57421875" style="830" hidden="1" customWidth="1"/>
    <col min="1848" max="2034" width="12.57421875" style="830" customWidth="1"/>
    <col min="2035" max="2035" width="7.140625" style="830" customWidth="1"/>
    <col min="2036" max="2036" width="37.140625" style="830" customWidth="1"/>
    <col min="2037" max="2037" width="27.140625" style="830" customWidth="1"/>
    <col min="2038" max="2038" width="37.28125" style="830" customWidth="1"/>
    <col min="2039" max="2039" width="15.7109375" style="830" customWidth="1"/>
    <col min="2040" max="2040" width="14.00390625" style="830" customWidth="1"/>
    <col min="2041" max="2041" width="18.28125" style="830" customWidth="1"/>
    <col min="2042" max="2042" width="19.8515625" style="830" customWidth="1"/>
    <col min="2043" max="2043" width="12.8515625" style="830" customWidth="1"/>
    <col min="2044" max="2044" width="43.140625" style="830" customWidth="1"/>
    <col min="2045" max="2045" width="11.8515625" style="830" customWidth="1"/>
    <col min="2046" max="2046" width="12.421875" style="830" customWidth="1"/>
    <col min="2047" max="2058" width="5.00390625" style="830" customWidth="1"/>
    <col min="2059" max="2059" width="14.140625" style="830" customWidth="1"/>
    <col min="2060" max="2060" width="22.8515625" style="830" customWidth="1"/>
    <col min="2061" max="2061" width="24.421875" style="830" customWidth="1"/>
    <col min="2062" max="2103" width="12.57421875" style="830" hidden="1" customWidth="1"/>
    <col min="2104" max="2290" width="12.57421875" style="830" customWidth="1"/>
    <col min="2291" max="2291" width="7.140625" style="830" customWidth="1"/>
    <col min="2292" max="2292" width="37.140625" style="830" customWidth="1"/>
    <col min="2293" max="2293" width="27.140625" style="830" customWidth="1"/>
    <col min="2294" max="2294" width="37.28125" style="830" customWidth="1"/>
    <col min="2295" max="2295" width="15.7109375" style="830" customWidth="1"/>
    <col min="2296" max="2296" width="14.00390625" style="830" customWidth="1"/>
    <col min="2297" max="2297" width="18.28125" style="830" customWidth="1"/>
    <col min="2298" max="2298" width="19.8515625" style="830" customWidth="1"/>
    <col min="2299" max="2299" width="12.8515625" style="830" customWidth="1"/>
    <col min="2300" max="2300" width="43.140625" style="830" customWidth="1"/>
    <col min="2301" max="2301" width="11.8515625" style="830" customWidth="1"/>
    <col min="2302" max="2302" width="12.421875" style="830" customWidth="1"/>
    <col min="2303" max="2314" width="5.00390625" style="830" customWidth="1"/>
    <col min="2315" max="2315" width="14.140625" style="830" customWidth="1"/>
    <col min="2316" max="2316" width="22.8515625" style="830" customWidth="1"/>
    <col min="2317" max="2317" width="24.421875" style="830" customWidth="1"/>
    <col min="2318" max="2359" width="12.57421875" style="830" hidden="1" customWidth="1"/>
    <col min="2360" max="2546" width="12.57421875" style="830" customWidth="1"/>
    <col min="2547" max="2547" width="7.140625" style="830" customWidth="1"/>
    <col min="2548" max="2548" width="37.140625" style="830" customWidth="1"/>
    <col min="2549" max="2549" width="27.140625" style="830" customWidth="1"/>
    <col min="2550" max="2550" width="37.28125" style="830" customWidth="1"/>
    <col min="2551" max="2551" width="15.7109375" style="830" customWidth="1"/>
    <col min="2552" max="2552" width="14.00390625" style="830" customWidth="1"/>
    <col min="2553" max="2553" width="18.28125" style="830" customWidth="1"/>
    <col min="2554" max="2554" width="19.8515625" style="830" customWidth="1"/>
    <col min="2555" max="2555" width="12.8515625" style="830" customWidth="1"/>
    <col min="2556" max="2556" width="43.140625" style="830" customWidth="1"/>
    <col min="2557" max="2557" width="11.8515625" style="830" customWidth="1"/>
    <col min="2558" max="2558" width="12.421875" style="830" customWidth="1"/>
    <col min="2559" max="2570" width="5.00390625" style="830" customWidth="1"/>
    <col min="2571" max="2571" width="14.140625" style="830" customWidth="1"/>
    <col min="2572" max="2572" width="22.8515625" style="830" customWidth="1"/>
    <col min="2573" max="2573" width="24.421875" style="830" customWidth="1"/>
    <col min="2574" max="2615" width="12.57421875" style="830" hidden="1" customWidth="1"/>
    <col min="2616" max="2802" width="12.57421875" style="830" customWidth="1"/>
    <col min="2803" max="2803" width="7.140625" style="830" customWidth="1"/>
    <col min="2804" max="2804" width="37.140625" style="830" customWidth="1"/>
    <col min="2805" max="2805" width="27.140625" style="830" customWidth="1"/>
    <col min="2806" max="2806" width="37.28125" style="830" customWidth="1"/>
    <col min="2807" max="2807" width="15.7109375" style="830" customWidth="1"/>
    <col min="2808" max="2808" width="14.00390625" style="830" customWidth="1"/>
    <col min="2809" max="2809" width="18.28125" style="830" customWidth="1"/>
    <col min="2810" max="2810" width="19.8515625" style="830" customWidth="1"/>
    <col min="2811" max="2811" width="12.8515625" style="830" customWidth="1"/>
    <col min="2812" max="2812" width="43.140625" style="830" customWidth="1"/>
    <col min="2813" max="2813" width="11.8515625" style="830" customWidth="1"/>
    <col min="2814" max="2814" width="12.421875" style="830" customWidth="1"/>
    <col min="2815" max="2826" width="5.00390625" style="830" customWidth="1"/>
    <col min="2827" max="2827" width="14.140625" style="830" customWidth="1"/>
    <col min="2828" max="2828" width="22.8515625" style="830" customWidth="1"/>
    <col min="2829" max="2829" width="24.421875" style="830" customWidth="1"/>
    <col min="2830" max="2871" width="12.57421875" style="830" hidden="1" customWidth="1"/>
    <col min="2872" max="3058" width="12.57421875" style="830" customWidth="1"/>
    <col min="3059" max="3059" width="7.140625" style="830" customWidth="1"/>
    <col min="3060" max="3060" width="37.140625" style="830" customWidth="1"/>
    <col min="3061" max="3061" width="27.140625" style="830" customWidth="1"/>
    <col min="3062" max="3062" width="37.28125" style="830" customWidth="1"/>
    <col min="3063" max="3063" width="15.7109375" style="830" customWidth="1"/>
    <col min="3064" max="3064" width="14.00390625" style="830" customWidth="1"/>
    <col min="3065" max="3065" width="18.28125" style="830" customWidth="1"/>
    <col min="3066" max="3066" width="19.8515625" style="830" customWidth="1"/>
    <col min="3067" max="3067" width="12.8515625" style="830" customWidth="1"/>
    <col min="3068" max="3068" width="43.140625" style="830" customWidth="1"/>
    <col min="3069" max="3069" width="11.8515625" style="830" customWidth="1"/>
    <col min="3070" max="3070" width="12.421875" style="830" customWidth="1"/>
    <col min="3071" max="3082" width="5.00390625" style="830" customWidth="1"/>
    <col min="3083" max="3083" width="14.140625" style="830" customWidth="1"/>
    <col min="3084" max="3084" width="22.8515625" style="830" customWidth="1"/>
    <col min="3085" max="3085" width="24.421875" style="830" customWidth="1"/>
    <col min="3086" max="3127" width="12.57421875" style="830" hidden="1" customWidth="1"/>
    <col min="3128" max="3314" width="12.57421875" style="830" customWidth="1"/>
    <col min="3315" max="3315" width="7.140625" style="830" customWidth="1"/>
    <col min="3316" max="3316" width="37.140625" style="830" customWidth="1"/>
    <col min="3317" max="3317" width="27.140625" style="830" customWidth="1"/>
    <col min="3318" max="3318" width="37.28125" style="830" customWidth="1"/>
    <col min="3319" max="3319" width="15.7109375" style="830" customWidth="1"/>
    <col min="3320" max="3320" width="14.00390625" style="830" customWidth="1"/>
    <col min="3321" max="3321" width="18.28125" style="830" customWidth="1"/>
    <col min="3322" max="3322" width="19.8515625" style="830" customWidth="1"/>
    <col min="3323" max="3323" width="12.8515625" style="830" customWidth="1"/>
    <col min="3324" max="3324" width="43.140625" style="830" customWidth="1"/>
    <col min="3325" max="3325" width="11.8515625" style="830" customWidth="1"/>
    <col min="3326" max="3326" width="12.421875" style="830" customWidth="1"/>
    <col min="3327" max="3338" width="5.00390625" style="830" customWidth="1"/>
    <col min="3339" max="3339" width="14.140625" style="830" customWidth="1"/>
    <col min="3340" max="3340" width="22.8515625" style="830" customWidth="1"/>
    <col min="3341" max="3341" width="24.421875" style="830" customWidth="1"/>
    <col min="3342" max="3383" width="12.57421875" style="830" hidden="1" customWidth="1"/>
    <col min="3384" max="3570" width="12.57421875" style="830" customWidth="1"/>
    <col min="3571" max="3571" width="7.140625" style="830" customWidth="1"/>
    <col min="3572" max="3572" width="37.140625" style="830" customWidth="1"/>
    <col min="3573" max="3573" width="27.140625" style="830" customWidth="1"/>
    <col min="3574" max="3574" width="37.28125" style="830" customWidth="1"/>
    <col min="3575" max="3575" width="15.7109375" style="830" customWidth="1"/>
    <col min="3576" max="3576" width="14.00390625" style="830" customWidth="1"/>
    <col min="3577" max="3577" width="18.28125" style="830" customWidth="1"/>
    <col min="3578" max="3578" width="19.8515625" style="830" customWidth="1"/>
    <col min="3579" max="3579" width="12.8515625" style="830" customWidth="1"/>
    <col min="3580" max="3580" width="43.140625" style="830" customWidth="1"/>
    <col min="3581" max="3581" width="11.8515625" style="830" customWidth="1"/>
    <col min="3582" max="3582" width="12.421875" style="830" customWidth="1"/>
    <col min="3583" max="3594" width="5.00390625" style="830" customWidth="1"/>
    <col min="3595" max="3595" width="14.140625" style="830" customWidth="1"/>
    <col min="3596" max="3596" width="22.8515625" style="830" customWidth="1"/>
    <col min="3597" max="3597" width="24.421875" style="830" customWidth="1"/>
    <col min="3598" max="3639" width="12.57421875" style="830" hidden="1" customWidth="1"/>
    <col min="3640" max="3826" width="12.57421875" style="830" customWidth="1"/>
    <col min="3827" max="3827" width="7.140625" style="830" customWidth="1"/>
    <col min="3828" max="3828" width="37.140625" style="830" customWidth="1"/>
    <col min="3829" max="3829" width="27.140625" style="830" customWidth="1"/>
    <col min="3830" max="3830" width="37.28125" style="830" customWidth="1"/>
    <col min="3831" max="3831" width="15.7109375" style="830" customWidth="1"/>
    <col min="3832" max="3832" width="14.00390625" style="830" customWidth="1"/>
    <col min="3833" max="3833" width="18.28125" style="830" customWidth="1"/>
    <col min="3834" max="3834" width="19.8515625" style="830" customWidth="1"/>
    <col min="3835" max="3835" width="12.8515625" style="830" customWidth="1"/>
    <col min="3836" max="3836" width="43.140625" style="830" customWidth="1"/>
    <col min="3837" max="3837" width="11.8515625" style="830" customWidth="1"/>
    <col min="3838" max="3838" width="12.421875" style="830" customWidth="1"/>
    <col min="3839" max="3850" width="5.00390625" style="830" customWidth="1"/>
    <col min="3851" max="3851" width="14.140625" style="830" customWidth="1"/>
    <col min="3852" max="3852" width="22.8515625" style="830" customWidth="1"/>
    <col min="3853" max="3853" width="24.421875" style="830" customWidth="1"/>
    <col min="3854" max="3895" width="12.57421875" style="830" hidden="1" customWidth="1"/>
    <col min="3896" max="4082" width="12.57421875" style="830" customWidth="1"/>
    <col min="4083" max="4083" width="7.140625" style="830" customWidth="1"/>
    <col min="4084" max="4084" width="37.140625" style="830" customWidth="1"/>
    <col min="4085" max="4085" width="27.140625" style="830" customWidth="1"/>
    <col min="4086" max="4086" width="37.28125" style="830" customWidth="1"/>
    <col min="4087" max="4087" width="15.7109375" style="830" customWidth="1"/>
    <col min="4088" max="4088" width="14.00390625" style="830" customWidth="1"/>
    <col min="4089" max="4089" width="18.28125" style="830" customWidth="1"/>
    <col min="4090" max="4090" width="19.8515625" style="830" customWidth="1"/>
    <col min="4091" max="4091" width="12.8515625" style="830" customWidth="1"/>
    <col min="4092" max="4092" width="43.140625" style="830" customWidth="1"/>
    <col min="4093" max="4093" width="11.8515625" style="830" customWidth="1"/>
    <col min="4094" max="4094" width="12.421875" style="830" customWidth="1"/>
    <col min="4095" max="4106" width="5.00390625" style="830" customWidth="1"/>
    <col min="4107" max="4107" width="14.140625" style="830" customWidth="1"/>
    <col min="4108" max="4108" width="22.8515625" style="830" customWidth="1"/>
    <col min="4109" max="4109" width="24.421875" style="830" customWidth="1"/>
    <col min="4110" max="4151" width="12.57421875" style="830" hidden="1" customWidth="1"/>
    <col min="4152" max="4338" width="12.57421875" style="830" customWidth="1"/>
    <col min="4339" max="4339" width="7.140625" style="830" customWidth="1"/>
    <col min="4340" max="4340" width="37.140625" style="830" customWidth="1"/>
    <col min="4341" max="4341" width="27.140625" style="830" customWidth="1"/>
    <col min="4342" max="4342" width="37.28125" style="830" customWidth="1"/>
    <col min="4343" max="4343" width="15.7109375" style="830" customWidth="1"/>
    <col min="4344" max="4344" width="14.00390625" style="830" customWidth="1"/>
    <col min="4345" max="4345" width="18.28125" style="830" customWidth="1"/>
    <col min="4346" max="4346" width="19.8515625" style="830" customWidth="1"/>
    <col min="4347" max="4347" width="12.8515625" style="830" customWidth="1"/>
    <col min="4348" max="4348" width="43.140625" style="830" customWidth="1"/>
    <col min="4349" max="4349" width="11.8515625" style="830" customWidth="1"/>
    <col min="4350" max="4350" width="12.421875" style="830" customWidth="1"/>
    <col min="4351" max="4362" width="5.00390625" style="830" customWidth="1"/>
    <col min="4363" max="4363" width="14.140625" style="830" customWidth="1"/>
    <col min="4364" max="4364" width="22.8515625" style="830" customWidth="1"/>
    <col min="4365" max="4365" width="24.421875" style="830" customWidth="1"/>
    <col min="4366" max="4407" width="12.57421875" style="830" hidden="1" customWidth="1"/>
    <col min="4408" max="4594" width="12.57421875" style="830" customWidth="1"/>
    <col min="4595" max="4595" width="7.140625" style="830" customWidth="1"/>
    <col min="4596" max="4596" width="37.140625" style="830" customWidth="1"/>
    <col min="4597" max="4597" width="27.140625" style="830" customWidth="1"/>
    <col min="4598" max="4598" width="37.28125" style="830" customWidth="1"/>
    <col min="4599" max="4599" width="15.7109375" style="830" customWidth="1"/>
    <col min="4600" max="4600" width="14.00390625" style="830" customWidth="1"/>
    <col min="4601" max="4601" width="18.28125" style="830" customWidth="1"/>
    <col min="4602" max="4602" width="19.8515625" style="830" customWidth="1"/>
    <col min="4603" max="4603" width="12.8515625" style="830" customWidth="1"/>
    <col min="4604" max="4604" width="43.140625" style="830" customWidth="1"/>
    <col min="4605" max="4605" width="11.8515625" style="830" customWidth="1"/>
    <col min="4606" max="4606" width="12.421875" style="830" customWidth="1"/>
    <col min="4607" max="4618" width="5.00390625" style="830" customWidth="1"/>
    <col min="4619" max="4619" width="14.140625" style="830" customWidth="1"/>
    <col min="4620" max="4620" width="22.8515625" style="830" customWidth="1"/>
    <col min="4621" max="4621" width="24.421875" style="830" customWidth="1"/>
    <col min="4622" max="4663" width="12.57421875" style="830" hidden="1" customWidth="1"/>
    <col min="4664" max="4850" width="12.57421875" style="830" customWidth="1"/>
    <col min="4851" max="4851" width="7.140625" style="830" customWidth="1"/>
    <col min="4852" max="4852" width="37.140625" style="830" customWidth="1"/>
    <col min="4853" max="4853" width="27.140625" style="830" customWidth="1"/>
    <col min="4854" max="4854" width="37.28125" style="830" customWidth="1"/>
    <col min="4855" max="4855" width="15.7109375" style="830" customWidth="1"/>
    <col min="4856" max="4856" width="14.00390625" style="830" customWidth="1"/>
    <col min="4857" max="4857" width="18.28125" style="830" customWidth="1"/>
    <col min="4858" max="4858" width="19.8515625" style="830" customWidth="1"/>
    <col min="4859" max="4859" width="12.8515625" style="830" customWidth="1"/>
    <col min="4860" max="4860" width="43.140625" style="830" customWidth="1"/>
    <col min="4861" max="4861" width="11.8515625" style="830" customWidth="1"/>
    <col min="4862" max="4862" width="12.421875" style="830" customWidth="1"/>
    <col min="4863" max="4874" width="5.00390625" style="830" customWidth="1"/>
    <col min="4875" max="4875" width="14.140625" style="830" customWidth="1"/>
    <col min="4876" max="4876" width="22.8515625" style="830" customWidth="1"/>
    <col min="4877" max="4877" width="24.421875" style="830" customWidth="1"/>
    <col min="4878" max="4919" width="12.57421875" style="830" hidden="1" customWidth="1"/>
    <col min="4920" max="5106" width="12.57421875" style="830" customWidth="1"/>
    <col min="5107" max="5107" width="7.140625" style="830" customWidth="1"/>
    <col min="5108" max="5108" width="37.140625" style="830" customWidth="1"/>
    <col min="5109" max="5109" width="27.140625" style="830" customWidth="1"/>
    <col min="5110" max="5110" width="37.28125" style="830" customWidth="1"/>
    <col min="5111" max="5111" width="15.7109375" style="830" customWidth="1"/>
    <col min="5112" max="5112" width="14.00390625" style="830" customWidth="1"/>
    <col min="5113" max="5113" width="18.28125" style="830" customWidth="1"/>
    <col min="5114" max="5114" width="19.8515625" style="830" customWidth="1"/>
    <col min="5115" max="5115" width="12.8515625" style="830" customWidth="1"/>
    <col min="5116" max="5116" width="43.140625" style="830" customWidth="1"/>
    <col min="5117" max="5117" width="11.8515625" style="830" customWidth="1"/>
    <col min="5118" max="5118" width="12.421875" style="830" customWidth="1"/>
    <col min="5119" max="5130" width="5.00390625" style="830" customWidth="1"/>
    <col min="5131" max="5131" width="14.140625" style="830" customWidth="1"/>
    <col min="5132" max="5132" width="22.8515625" style="830" customWidth="1"/>
    <col min="5133" max="5133" width="24.421875" style="830" customWidth="1"/>
    <col min="5134" max="5175" width="12.57421875" style="830" hidden="1" customWidth="1"/>
    <col min="5176" max="5362" width="12.57421875" style="830" customWidth="1"/>
    <col min="5363" max="5363" width="7.140625" style="830" customWidth="1"/>
    <col min="5364" max="5364" width="37.140625" style="830" customWidth="1"/>
    <col min="5365" max="5365" width="27.140625" style="830" customWidth="1"/>
    <col min="5366" max="5366" width="37.28125" style="830" customWidth="1"/>
    <col min="5367" max="5367" width="15.7109375" style="830" customWidth="1"/>
    <col min="5368" max="5368" width="14.00390625" style="830" customWidth="1"/>
    <col min="5369" max="5369" width="18.28125" style="830" customWidth="1"/>
    <col min="5370" max="5370" width="19.8515625" style="830" customWidth="1"/>
    <col min="5371" max="5371" width="12.8515625" style="830" customWidth="1"/>
    <col min="5372" max="5372" width="43.140625" style="830" customWidth="1"/>
    <col min="5373" max="5373" width="11.8515625" style="830" customWidth="1"/>
    <col min="5374" max="5374" width="12.421875" style="830" customWidth="1"/>
    <col min="5375" max="5386" width="5.00390625" style="830" customWidth="1"/>
    <col min="5387" max="5387" width="14.140625" style="830" customWidth="1"/>
    <col min="5388" max="5388" width="22.8515625" style="830" customWidth="1"/>
    <col min="5389" max="5389" width="24.421875" style="830" customWidth="1"/>
    <col min="5390" max="5431" width="12.57421875" style="830" hidden="1" customWidth="1"/>
    <col min="5432" max="5618" width="12.57421875" style="830" customWidth="1"/>
    <col min="5619" max="5619" width="7.140625" style="830" customWidth="1"/>
    <col min="5620" max="5620" width="37.140625" style="830" customWidth="1"/>
    <col min="5621" max="5621" width="27.140625" style="830" customWidth="1"/>
    <col min="5622" max="5622" width="37.28125" style="830" customWidth="1"/>
    <col min="5623" max="5623" width="15.7109375" style="830" customWidth="1"/>
    <col min="5624" max="5624" width="14.00390625" style="830" customWidth="1"/>
    <col min="5625" max="5625" width="18.28125" style="830" customWidth="1"/>
    <col min="5626" max="5626" width="19.8515625" style="830" customWidth="1"/>
    <col min="5627" max="5627" width="12.8515625" style="830" customWidth="1"/>
    <col min="5628" max="5628" width="43.140625" style="830" customWidth="1"/>
    <col min="5629" max="5629" width="11.8515625" style="830" customWidth="1"/>
    <col min="5630" max="5630" width="12.421875" style="830" customWidth="1"/>
    <col min="5631" max="5642" width="5.00390625" style="830" customWidth="1"/>
    <col min="5643" max="5643" width="14.140625" style="830" customWidth="1"/>
    <col min="5644" max="5644" width="22.8515625" style="830" customWidth="1"/>
    <col min="5645" max="5645" width="24.421875" style="830" customWidth="1"/>
    <col min="5646" max="5687" width="12.57421875" style="830" hidden="1" customWidth="1"/>
    <col min="5688" max="5874" width="12.57421875" style="830" customWidth="1"/>
    <col min="5875" max="5875" width="7.140625" style="830" customWidth="1"/>
    <col min="5876" max="5876" width="37.140625" style="830" customWidth="1"/>
    <col min="5877" max="5877" width="27.140625" style="830" customWidth="1"/>
    <col min="5878" max="5878" width="37.28125" style="830" customWidth="1"/>
    <col min="5879" max="5879" width="15.7109375" style="830" customWidth="1"/>
    <col min="5880" max="5880" width="14.00390625" style="830" customWidth="1"/>
    <col min="5881" max="5881" width="18.28125" style="830" customWidth="1"/>
    <col min="5882" max="5882" width="19.8515625" style="830" customWidth="1"/>
    <col min="5883" max="5883" width="12.8515625" style="830" customWidth="1"/>
    <col min="5884" max="5884" width="43.140625" style="830" customWidth="1"/>
    <col min="5885" max="5885" width="11.8515625" style="830" customWidth="1"/>
    <col min="5886" max="5886" width="12.421875" style="830" customWidth="1"/>
    <col min="5887" max="5898" width="5.00390625" style="830" customWidth="1"/>
    <col min="5899" max="5899" width="14.140625" style="830" customWidth="1"/>
    <col min="5900" max="5900" width="22.8515625" style="830" customWidth="1"/>
    <col min="5901" max="5901" width="24.421875" style="830" customWidth="1"/>
    <col min="5902" max="5943" width="12.57421875" style="830" hidden="1" customWidth="1"/>
    <col min="5944" max="6130" width="12.57421875" style="830" customWidth="1"/>
    <col min="6131" max="6131" width="7.140625" style="830" customWidth="1"/>
    <col min="6132" max="6132" width="37.140625" style="830" customWidth="1"/>
    <col min="6133" max="6133" width="27.140625" style="830" customWidth="1"/>
    <col min="6134" max="6134" width="37.28125" style="830" customWidth="1"/>
    <col min="6135" max="6135" width="15.7109375" style="830" customWidth="1"/>
    <col min="6136" max="6136" width="14.00390625" style="830" customWidth="1"/>
    <col min="6137" max="6137" width="18.28125" style="830" customWidth="1"/>
    <col min="6138" max="6138" width="19.8515625" style="830" customWidth="1"/>
    <col min="6139" max="6139" width="12.8515625" style="830" customWidth="1"/>
    <col min="6140" max="6140" width="43.140625" style="830" customWidth="1"/>
    <col min="6141" max="6141" width="11.8515625" style="830" customWidth="1"/>
    <col min="6142" max="6142" width="12.421875" style="830" customWidth="1"/>
    <col min="6143" max="6154" width="5.00390625" style="830" customWidth="1"/>
    <col min="6155" max="6155" width="14.140625" style="830" customWidth="1"/>
    <col min="6156" max="6156" width="22.8515625" style="830" customWidth="1"/>
    <col min="6157" max="6157" width="24.421875" style="830" customWidth="1"/>
    <col min="6158" max="6199" width="12.57421875" style="830" hidden="1" customWidth="1"/>
    <col min="6200" max="6386" width="12.57421875" style="830" customWidth="1"/>
    <col min="6387" max="6387" width="7.140625" style="830" customWidth="1"/>
    <col min="6388" max="6388" width="37.140625" style="830" customWidth="1"/>
    <col min="6389" max="6389" width="27.140625" style="830" customWidth="1"/>
    <col min="6390" max="6390" width="37.28125" style="830" customWidth="1"/>
    <col min="6391" max="6391" width="15.7109375" style="830" customWidth="1"/>
    <col min="6392" max="6392" width="14.00390625" style="830" customWidth="1"/>
    <col min="6393" max="6393" width="18.28125" style="830" customWidth="1"/>
    <col min="6394" max="6394" width="19.8515625" style="830" customWidth="1"/>
    <col min="6395" max="6395" width="12.8515625" style="830" customWidth="1"/>
    <col min="6396" max="6396" width="43.140625" style="830" customWidth="1"/>
    <col min="6397" max="6397" width="11.8515625" style="830" customWidth="1"/>
    <col min="6398" max="6398" width="12.421875" style="830" customWidth="1"/>
    <col min="6399" max="6410" width="5.00390625" style="830" customWidth="1"/>
    <col min="6411" max="6411" width="14.140625" style="830" customWidth="1"/>
    <col min="6412" max="6412" width="22.8515625" style="830" customWidth="1"/>
    <col min="6413" max="6413" width="24.421875" style="830" customWidth="1"/>
    <col min="6414" max="6455" width="12.57421875" style="830" hidden="1" customWidth="1"/>
    <col min="6456" max="6642" width="12.57421875" style="830" customWidth="1"/>
    <col min="6643" max="6643" width="7.140625" style="830" customWidth="1"/>
    <col min="6644" max="6644" width="37.140625" style="830" customWidth="1"/>
    <col min="6645" max="6645" width="27.140625" style="830" customWidth="1"/>
    <col min="6646" max="6646" width="37.28125" style="830" customWidth="1"/>
    <col min="6647" max="6647" width="15.7109375" style="830" customWidth="1"/>
    <col min="6648" max="6648" width="14.00390625" style="830" customWidth="1"/>
    <col min="6649" max="6649" width="18.28125" style="830" customWidth="1"/>
    <col min="6650" max="6650" width="19.8515625" style="830" customWidth="1"/>
    <col min="6651" max="6651" width="12.8515625" style="830" customWidth="1"/>
    <col min="6652" max="6652" width="43.140625" style="830" customWidth="1"/>
    <col min="6653" max="6653" width="11.8515625" style="830" customWidth="1"/>
    <col min="6654" max="6654" width="12.421875" style="830" customWidth="1"/>
    <col min="6655" max="6666" width="5.00390625" style="830" customWidth="1"/>
    <col min="6667" max="6667" width="14.140625" style="830" customWidth="1"/>
    <col min="6668" max="6668" width="22.8515625" style="830" customWidth="1"/>
    <col min="6669" max="6669" width="24.421875" style="830" customWidth="1"/>
    <col min="6670" max="6711" width="12.57421875" style="830" hidden="1" customWidth="1"/>
    <col min="6712" max="6898" width="12.57421875" style="830" customWidth="1"/>
    <col min="6899" max="6899" width="7.140625" style="830" customWidth="1"/>
    <col min="6900" max="6900" width="37.140625" style="830" customWidth="1"/>
    <col min="6901" max="6901" width="27.140625" style="830" customWidth="1"/>
    <col min="6902" max="6902" width="37.28125" style="830" customWidth="1"/>
    <col min="6903" max="6903" width="15.7109375" style="830" customWidth="1"/>
    <col min="6904" max="6904" width="14.00390625" style="830" customWidth="1"/>
    <col min="6905" max="6905" width="18.28125" style="830" customWidth="1"/>
    <col min="6906" max="6906" width="19.8515625" style="830" customWidth="1"/>
    <col min="6907" max="6907" width="12.8515625" style="830" customWidth="1"/>
    <col min="6908" max="6908" width="43.140625" style="830" customWidth="1"/>
    <col min="6909" max="6909" width="11.8515625" style="830" customWidth="1"/>
    <col min="6910" max="6910" width="12.421875" style="830" customWidth="1"/>
    <col min="6911" max="6922" width="5.00390625" style="830" customWidth="1"/>
    <col min="6923" max="6923" width="14.140625" style="830" customWidth="1"/>
    <col min="6924" max="6924" width="22.8515625" style="830" customWidth="1"/>
    <col min="6925" max="6925" width="24.421875" style="830" customWidth="1"/>
    <col min="6926" max="6967" width="12.57421875" style="830" hidden="1" customWidth="1"/>
    <col min="6968" max="7154" width="12.57421875" style="830" customWidth="1"/>
    <col min="7155" max="7155" width="7.140625" style="830" customWidth="1"/>
    <col min="7156" max="7156" width="37.140625" style="830" customWidth="1"/>
    <col min="7157" max="7157" width="27.140625" style="830" customWidth="1"/>
    <col min="7158" max="7158" width="37.28125" style="830" customWidth="1"/>
    <col min="7159" max="7159" width="15.7109375" style="830" customWidth="1"/>
    <col min="7160" max="7160" width="14.00390625" style="830" customWidth="1"/>
    <col min="7161" max="7161" width="18.28125" style="830" customWidth="1"/>
    <col min="7162" max="7162" width="19.8515625" style="830" customWidth="1"/>
    <col min="7163" max="7163" width="12.8515625" style="830" customWidth="1"/>
    <col min="7164" max="7164" width="43.140625" style="830" customWidth="1"/>
    <col min="7165" max="7165" width="11.8515625" style="830" customWidth="1"/>
    <col min="7166" max="7166" width="12.421875" style="830" customWidth="1"/>
    <col min="7167" max="7178" width="5.00390625" style="830" customWidth="1"/>
    <col min="7179" max="7179" width="14.140625" style="830" customWidth="1"/>
    <col min="7180" max="7180" width="22.8515625" style="830" customWidth="1"/>
    <col min="7181" max="7181" width="24.421875" style="830" customWidth="1"/>
    <col min="7182" max="7223" width="12.57421875" style="830" hidden="1" customWidth="1"/>
    <col min="7224" max="7410" width="12.57421875" style="830" customWidth="1"/>
    <col min="7411" max="7411" width="7.140625" style="830" customWidth="1"/>
    <col min="7412" max="7412" width="37.140625" style="830" customWidth="1"/>
    <col min="7413" max="7413" width="27.140625" style="830" customWidth="1"/>
    <col min="7414" max="7414" width="37.28125" style="830" customWidth="1"/>
    <col min="7415" max="7415" width="15.7109375" style="830" customWidth="1"/>
    <col min="7416" max="7416" width="14.00390625" style="830" customWidth="1"/>
    <col min="7417" max="7417" width="18.28125" style="830" customWidth="1"/>
    <col min="7418" max="7418" width="19.8515625" style="830" customWidth="1"/>
    <col min="7419" max="7419" width="12.8515625" style="830" customWidth="1"/>
    <col min="7420" max="7420" width="43.140625" style="830" customWidth="1"/>
    <col min="7421" max="7421" width="11.8515625" style="830" customWidth="1"/>
    <col min="7422" max="7422" width="12.421875" style="830" customWidth="1"/>
    <col min="7423" max="7434" width="5.00390625" style="830" customWidth="1"/>
    <col min="7435" max="7435" width="14.140625" style="830" customWidth="1"/>
    <col min="7436" max="7436" width="22.8515625" style="830" customWidth="1"/>
    <col min="7437" max="7437" width="24.421875" style="830" customWidth="1"/>
    <col min="7438" max="7479" width="12.57421875" style="830" hidden="1" customWidth="1"/>
    <col min="7480" max="7666" width="12.57421875" style="830" customWidth="1"/>
    <col min="7667" max="7667" width="7.140625" style="830" customWidth="1"/>
    <col min="7668" max="7668" width="37.140625" style="830" customWidth="1"/>
    <col min="7669" max="7669" width="27.140625" style="830" customWidth="1"/>
    <col min="7670" max="7670" width="37.28125" style="830" customWidth="1"/>
    <col min="7671" max="7671" width="15.7109375" style="830" customWidth="1"/>
    <col min="7672" max="7672" width="14.00390625" style="830" customWidth="1"/>
    <col min="7673" max="7673" width="18.28125" style="830" customWidth="1"/>
    <col min="7674" max="7674" width="19.8515625" style="830" customWidth="1"/>
    <col min="7675" max="7675" width="12.8515625" style="830" customWidth="1"/>
    <col min="7676" max="7676" width="43.140625" style="830" customWidth="1"/>
    <col min="7677" max="7677" width="11.8515625" style="830" customWidth="1"/>
    <col min="7678" max="7678" width="12.421875" style="830" customWidth="1"/>
    <col min="7679" max="7690" width="5.00390625" style="830" customWidth="1"/>
    <col min="7691" max="7691" width="14.140625" style="830" customWidth="1"/>
    <col min="7692" max="7692" width="22.8515625" style="830" customWidth="1"/>
    <col min="7693" max="7693" width="24.421875" style="830" customWidth="1"/>
    <col min="7694" max="7735" width="12.57421875" style="830" hidden="1" customWidth="1"/>
    <col min="7736" max="7922" width="12.57421875" style="830" customWidth="1"/>
    <col min="7923" max="7923" width="7.140625" style="830" customWidth="1"/>
    <col min="7924" max="7924" width="37.140625" style="830" customWidth="1"/>
    <col min="7925" max="7925" width="27.140625" style="830" customWidth="1"/>
    <col min="7926" max="7926" width="37.28125" style="830" customWidth="1"/>
    <col min="7927" max="7927" width="15.7109375" style="830" customWidth="1"/>
    <col min="7928" max="7928" width="14.00390625" style="830" customWidth="1"/>
    <col min="7929" max="7929" width="18.28125" style="830" customWidth="1"/>
    <col min="7930" max="7930" width="19.8515625" style="830" customWidth="1"/>
    <col min="7931" max="7931" width="12.8515625" style="830" customWidth="1"/>
    <col min="7932" max="7932" width="43.140625" style="830" customWidth="1"/>
    <col min="7933" max="7933" width="11.8515625" style="830" customWidth="1"/>
    <col min="7934" max="7934" width="12.421875" style="830" customWidth="1"/>
    <col min="7935" max="7946" width="5.00390625" style="830" customWidth="1"/>
    <col min="7947" max="7947" width="14.140625" style="830" customWidth="1"/>
    <col min="7948" max="7948" width="22.8515625" style="830" customWidth="1"/>
    <col min="7949" max="7949" width="24.421875" style="830" customWidth="1"/>
    <col min="7950" max="7991" width="12.57421875" style="830" hidden="1" customWidth="1"/>
    <col min="7992" max="8178" width="12.57421875" style="830" customWidth="1"/>
    <col min="8179" max="8179" width="7.140625" style="830" customWidth="1"/>
    <col min="8180" max="8180" width="37.140625" style="830" customWidth="1"/>
    <col min="8181" max="8181" width="27.140625" style="830" customWidth="1"/>
    <col min="8182" max="8182" width="37.28125" style="830" customWidth="1"/>
    <col min="8183" max="8183" width="15.7109375" style="830" customWidth="1"/>
    <col min="8184" max="8184" width="14.00390625" style="830" customWidth="1"/>
    <col min="8185" max="8185" width="18.28125" style="830" customWidth="1"/>
    <col min="8186" max="8186" width="19.8515625" style="830" customWidth="1"/>
    <col min="8187" max="8187" width="12.8515625" style="830" customWidth="1"/>
    <col min="8188" max="8188" width="43.140625" style="830" customWidth="1"/>
    <col min="8189" max="8189" width="11.8515625" style="830" customWidth="1"/>
    <col min="8190" max="8190" width="12.421875" style="830" customWidth="1"/>
    <col min="8191" max="8202" width="5.00390625" style="830" customWidth="1"/>
    <col min="8203" max="8203" width="14.140625" style="830" customWidth="1"/>
    <col min="8204" max="8204" width="22.8515625" style="830" customWidth="1"/>
    <col min="8205" max="8205" width="24.421875" style="830" customWidth="1"/>
    <col min="8206" max="8247" width="12.57421875" style="830" hidden="1" customWidth="1"/>
    <col min="8248" max="8434" width="12.57421875" style="830" customWidth="1"/>
    <col min="8435" max="8435" width="7.140625" style="830" customWidth="1"/>
    <col min="8436" max="8436" width="37.140625" style="830" customWidth="1"/>
    <col min="8437" max="8437" width="27.140625" style="830" customWidth="1"/>
    <col min="8438" max="8438" width="37.28125" style="830" customWidth="1"/>
    <col min="8439" max="8439" width="15.7109375" style="830" customWidth="1"/>
    <col min="8440" max="8440" width="14.00390625" style="830" customWidth="1"/>
    <col min="8441" max="8441" width="18.28125" style="830" customWidth="1"/>
    <col min="8442" max="8442" width="19.8515625" style="830" customWidth="1"/>
    <col min="8443" max="8443" width="12.8515625" style="830" customWidth="1"/>
    <col min="8444" max="8444" width="43.140625" style="830" customWidth="1"/>
    <col min="8445" max="8445" width="11.8515625" style="830" customWidth="1"/>
    <col min="8446" max="8446" width="12.421875" style="830" customWidth="1"/>
    <col min="8447" max="8458" width="5.00390625" style="830" customWidth="1"/>
    <col min="8459" max="8459" width="14.140625" style="830" customWidth="1"/>
    <col min="8460" max="8460" width="22.8515625" style="830" customWidth="1"/>
    <col min="8461" max="8461" width="24.421875" style="830" customWidth="1"/>
    <col min="8462" max="8503" width="12.57421875" style="830" hidden="1" customWidth="1"/>
    <col min="8504" max="8690" width="12.57421875" style="830" customWidth="1"/>
    <col min="8691" max="8691" width="7.140625" style="830" customWidth="1"/>
    <col min="8692" max="8692" width="37.140625" style="830" customWidth="1"/>
    <col min="8693" max="8693" width="27.140625" style="830" customWidth="1"/>
    <col min="8694" max="8694" width="37.28125" style="830" customWidth="1"/>
    <col min="8695" max="8695" width="15.7109375" style="830" customWidth="1"/>
    <col min="8696" max="8696" width="14.00390625" style="830" customWidth="1"/>
    <col min="8697" max="8697" width="18.28125" style="830" customWidth="1"/>
    <col min="8698" max="8698" width="19.8515625" style="830" customWidth="1"/>
    <col min="8699" max="8699" width="12.8515625" style="830" customWidth="1"/>
    <col min="8700" max="8700" width="43.140625" style="830" customWidth="1"/>
    <col min="8701" max="8701" width="11.8515625" style="830" customWidth="1"/>
    <col min="8702" max="8702" width="12.421875" style="830" customWidth="1"/>
    <col min="8703" max="8714" width="5.00390625" style="830" customWidth="1"/>
    <col min="8715" max="8715" width="14.140625" style="830" customWidth="1"/>
    <col min="8716" max="8716" width="22.8515625" style="830" customWidth="1"/>
    <col min="8717" max="8717" width="24.421875" style="830" customWidth="1"/>
    <col min="8718" max="8759" width="12.57421875" style="830" hidden="1" customWidth="1"/>
    <col min="8760" max="8946" width="12.57421875" style="830" customWidth="1"/>
    <col min="8947" max="8947" width="7.140625" style="830" customWidth="1"/>
    <col min="8948" max="8948" width="37.140625" style="830" customWidth="1"/>
    <col min="8949" max="8949" width="27.140625" style="830" customWidth="1"/>
    <col min="8950" max="8950" width="37.28125" style="830" customWidth="1"/>
    <col min="8951" max="8951" width="15.7109375" style="830" customWidth="1"/>
    <col min="8952" max="8952" width="14.00390625" style="830" customWidth="1"/>
    <col min="8953" max="8953" width="18.28125" style="830" customWidth="1"/>
    <col min="8954" max="8954" width="19.8515625" style="830" customWidth="1"/>
    <col min="8955" max="8955" width="12.8515625" style="830" customWidth="1"/>
    <col min="8956" max="8956" width="43.140625" style="830" customWidth="1"/>
    <col min="8957" max="8957" width="11.8515625" style="830" customWidth="1"/>
    <col min="8958" max="8958" width="12.421875" style="830" customWidth="1"/>
    <col min="8959" max="8970" width="5.00390625" style="830" customWidth="1"/>
    <col min="8971" max="8971" width="14.140625" style="830" customWidth="1"/>
    <col min="8972" max="8972" width="22.8515625" style="830" customWidth="1"/>
    <col min="8973" max="8973" width="24.421875" style="830" customWidth="1"/>
    <col min="8974" max="9015" width="12.57421875" style="830" hidden="1" customWidth="1"/>
    <col min="9016" max="9202" width="12.57421875" style="830" customWidth="1"/>
    <col min="9203" max="9203" width="7.140625" style="830" customWidth="1"/>
    <col min="9204" max="9204" width="37.140625" style="830" customWidth="1"/>
    <col min="9205" max="9205" width="27.140625" style="830" customWidth="1"/>
    <col min="9206" max="9206" width="37.28125" style="830" customWidth="1"/>
    <col min="9207" max="9207" width="15.7109375" style="830" customWidth="1"/>
    <col min="9208" max="9208" width="14.00390625" style="830" customWidth="1"/>
    <col min="9209" max="9209" width="18.28125" style="830" customWidth="1"/>
    <col min="9210" max="9210" width="19.8515625" style="830" customWidth="1"/>
    <col min="9211" max="9211" width="12.8515625" style="830" customWidth="1"/>
    <col min="9212" max="9212" width="43.140625" style="830" customWidth="1"/>
    <col min="9213" max="9213" width="11.8515625" style="830" customWidth="1"/>
    <col min="9214" max="9214" width="12.421875" style="830" customWidth="1"/>
    <col min="9215" max="9226" width="5.00390625" style="830" customWidth="1"/>
    <col min="9227" max="9227" width="14.140625" style="830" customWidth="1"/>
    <col min="9228" max="9228" width="22.8515625" style="830" customWidth="1"/>
    <col min="9229" max="9229" width="24.421875" style="830" customWidth="1"/>
    <col min="9230" max="9271" width="12.57421875" style="830" hidden="1" customWidth="1"/>
    <col min="9272" max="9458" width="12.57421875" style="830" customWidth="1"/>
    <col min="9459" max="9459" width="7.140625" style="830" customWidth="1"/>
    <col min="9460" max="9460" width="37.140625" style="830" customWidth="1"/>
    <col min="9461" max="9461" width="27.140625" style="830" customWidth="1"/>
    <col min="9462" max="9462" width="37.28125" style="830" customWidth="1"/>
    <col min="9463" max="9463" width="15.7109375" style="830" customWidth="1"/>
    <col min="9464" max="9464" width="14.00390625" style="830" customWidth="1"/>
    <col min="9465" max="9465" width="18.28125" style="830" customWidth="1"/>
    <col min="9466" max="9466" width="19.8515625" style="830" customWidth="1"/>
    <col min="9467" max="9467" width="12.8515625" style="830" customWidth="1"/>
    <col min="9468" max="9468" width="43.140625" style="830" customWidth="1"/>
    <col min="9469" max="9469" width="11.8515625" style="830" customWidth="1"/>
    <col min="9470" max="9470" width="12.421875" style="830" customWidth="1"/>
    <col min="9471" max="9482" width="5.00390625" style="830" customWidth="1"/>
    <col min="9483" max="9483" width="14.140625" style="830" customWidth="1"/>
    <col min="9484" max="9484" width="22.8515625" style="830" customWidth="1"/>
    <col min="9485" max="9485" width="24.421875" style="830" customWidth="1"/>
    <col min="9486" max="9527" width="12.57421875" style="830" hidden="1" customWidth="1"/>
    <col min="9528" max="9714" width="12.57421875" style="830" customWidth="1"/>
    <col min="9715" max="9715" width="7.140625" style="830" customWidth="1"/>
    <col min="9716" max="9716" width="37.140625" style="830" customWidth="1"/>
    <col min="9717" max="9717" width="27.140625" style="830" customWidth="1"/>
    <col min="9718" max="9718" width="37.28125" style="830" customWidth="1"/>
    <col min="9719" max="9719" width="15.7109375" style="830" customWidth="1"/>
    <col min="9720" max="9720" width="14.00390625" style="830" customWidth="1"/>
    <col min="9721" max="9721" width="18.28125" style="830" customWidth="1"/>
    <col min="9722" max="9722" width="19.8515625" style="830" customWidth="1"/>
    <col min="9723" max="9723" width="12.8515625" style="830" customWidth="1"/>
    <col min="9724" max="9724" width="43.140625" style="830" customWidth="1"/>
    <col min="9725" max="9725" width="11.8515625" style="830" customWidth="1"/>
    <col min="9726" max="9726" width="12.421875" style="830" customWidth="1"/>
    <col min="9727" max="9738" width="5.00390625" style="830" customWidth="1"/>
    <col min="9739" max="9739" width="14.140625" style="830" customWidth="1"/>
    <col min="9740" max="9740" width="22.8515625" style="830" customWidth="1"/>
    <col min="9741" max="9741" width="24.421875" style="830" customWidth="1"/>
    <col min="9742" max="9783" width="12.57421875" style="830" hidden="1" customWidth="1"/>
    <col min="9784" max="9970" width="12.57421875" style="830" customWidth="1"/>
    <col min="9971" max="9971" width="7.140625" style="830" customWidth="1"/>
    <col min="9972" max="9972" width="37.140625" style="830" customWidth="1"/>
    <col min="9973" max="9973" width="27.140625" style="830" customWidth="1"/>
    <col min="9974" max="9974" width="37.28125" style="830" customWidth="1"/>
    <col min="9975" max="9975" width="15.7109375" style="830" customWidth="1"/>
    <col min="9976" max="9976" width="14.00390625" style="830" customWidth="1"/>
    <col min="9977" max="9977" width="18.28125" style="830" customWidth="1"/>
    <col min="9978" max="9978" width="19.8515625" style="830" customWidth="1"/>
    <col min="9979" max="9979" width="12.8515625" style="830" customWidth="1"/>
    <col min="9980" max="9980" width="43.140625" style="830" customWidth="1"/>
    <col min="9981" max="9981" width="11.8515625" style="830" customWidth="1"/>
    <col min="9982" max="9982" width="12.421875" style="830" customWidth="1"/>
    <col min="9983" max="9994" width="5.00390625" style="830" customWidth="1"/>
    <col min="9995" max="9995" width="14.140625" style="830" customWidth="1"/>
    <col min="9996" max="9996" width="22.8515625" style="830" customWidth="1"/>
    <col min="9997" max="9997" width="24.421875" style="830" customWidth="1"/>
    <col min="9998" max="10039" width="12.57421875" style="830" hidden="1" customWidth="1"/>
    <col min="10040" max="10226" width="12.57421875" style="830" customWidth="1"/>
    <col min="10227" max="10227" width="7.140625" style="830" customWidth="1"/>
    <col min="10228" max="10228" width="37.140625" style="830" customWidth="1"/>
    <col min="10229" max="10229" width="27.140625" style="830" customWidth="1"/>
    <col min="10230" max="10230" width="37.28125" style="830" customWidth="1"/>
    <col min="10231" max="10231" width="15.7109375" style="830" customWidth="1"/>
    <col min="10232" max="10232" width="14.00390625" style="830" customWidth="1"/>
    <col min="10233" max="10233" width="18.28125" style="830" customWidth="1"/>
    <col min="10234" max="10234" width="19.8515625" style="830" customWidth="1"/>
    <col min="10235" max="10235" width="12.8515625" style="830" customWidth="1"/>
    <col min="10236" max="10236" width="43.140625" style="830" customWidth="1"/>
    <col min="10237" max="10237" width="11.8515625" style="830" customWidth="1"/>
    <col min="10238" max="10238" width="12.421875" style="830" customWidth="1"/>
    <col min="10239" max="10250" width="5.00390625" style="830" customWidth="1"/>
    <col min="10251" max="10251" width="14.140625" style="830" customWidth="1"/>
    <col min="10252" max="10252" width="22.8515625" style="830" customWidth="1"/>
    <col min="10253" max="10253" width="24.421875" style="830" customWidth="1"/>
    <col min="10254" max="10295" width="12.57421875" style="830" hidden="1" customWidth="1"/>
    <col min="10296" max="10482" width="12.57421875" style="830" customWidth="1"/>
    <col min="10483" max="10483" width="7.140625" style="830" customWidth="1"/>
    <col min="10484" max="10484" width="37.140625" style="830" customWidth="1"/>
    <col min="10485" max="10485" width="27.140625" style="830" customWidth="1"/>
    <col min="10486" max="10486" width="37.28125" style="830" customWidth="1"/>
    <col min="10487" max="10487" width="15.7109375" style="830" customWidth="1"/>
    <col min="10488" max="10488" width="14.00390625" style="830" customWidth="1"/>
    <col min="10489" max="10489" width="18.28125" style="830" customWidth="1"/>
    <col min="10490" max="10490" width="19.8515625" style="830" customWidth="1"/>
    <col min="10491" max="10491" width="12.8515625" style="830" customWidth="1"/>
    <col min="10492" max="10492" width="43.140625" style="830" customWidth="1"/>
    <col min="10493" max="10493" width="11.8515625" style="830" customWidth="1"/>
    <col min="10494" max="10494" width="12.421875" style="830" customWidth="1"/>
    <col min="10495" max="10506" width="5.00390625" style="830" customWidth="1"/>
    <col min="10507" max="10507" width="14.140625" style="830" customWidth="1"/>
    <col min="10508" max="10508" width="22.8515625" style="830" customWidth="1"/>
    <col min="10509" max="10509" width="24.421875" style="830" customWidth="1"/>
    <col min="10510" max="10551" width="12.57421875" style="830" hidden="1" customWidth="1"/>
    <col min="10552" max="10738" width="12.57421875" style="830" customWidth="1"/>
    <col min="10739" max="10739" width="7.140625" style="830" customWidth="1"/>
    <col min="10740" max="10740" width="37.140625" style="830" customWidth="1"/>
    <col min="10741" max="10741" width="27.140625" style="830" customWidth="1"/>
    <col min="10742" max="10742" width="37.28125" style="830" customWidth="1"/>
    <col min="10743" max="10743" width="15.7109375" style="830" customWidth="1"/>
    <col min="10744" max="10744" width="14.00390625" style="830" customWidth="1"/>
    <col min="10745" max="10745" width="18.28125" style="830" customWidth="1"/>
    <col min="10746" max="10746" width="19.8515625" style="830" customWidth="1"/>
    <col min="10747" max="10747" width="12.8515625" style="830" customWidth="1"/>
    <col min="10748" max="10748" width="43.140625" style="830" customWidth="1"/>
    <col min="10749" max="10749" width="11.8515625" style="830" customWidth="1"/>
    <col min="10750" max="10750" width="12.421875" style="830" customWidth="1"/>
    <col min="10751" max="10762" width="5.00390625" style="830" customWidth="1"/>
    <col min="10763" max="10763" width="14.140625" style="830" customWidth="1"/>
    <col min="10764" max="10764" width="22.8515625" style="830" customWidth="1"/>
    <col min="10765" max="10765" width="24.421875" style="830" customWidth="1"/>
    <col min="10766" max="10807" width="12.57421875" style="830" hidden="1" customWidth="1"/>
    <col min="10808" max="10994" width="12.57421875" style="830" customWidth="1"/>
    <col min="10995" max="10995" width="7.140625" style="830" customWidth="1"/>
    <col min="10996" max="10996" width="37.140625" style="830" customWidth="1"/>
    <col min="10997" max="10997" width="27.140625" style="830" customWidth="1"/>
    <col min="10998" max="10998" width="37.28125" style="830" customWidth="1"/>
    <col min="10999" max="10999" width="15.7109375" style="830" customWidth="1"/>
    <col min="11000" max="11000" width="14.00390625" style="830" customWidth="1"/>
    <col min="11001" max="11001" width="18.28125" style="830" customWidth="1"/>
    <col min="11002" max="11002" width="19.8515625" style="830" customWidth="1"/>
    <col min="11003" max="11003" width="12.8515625" style="830" customWidth="1"/>
    <col min="11004" max="11004" width="43.140625" style="830" customWidth="1"/>
    <col min="11005" max="11005" width="11.8515625" style="830" customWidth="1"/>
    <col min="11006" max="11006" width="12.421875" style="830" customWidth="1"/>
    <col min="11007" max="11018" width="5.00390625" style="830" customWidth="1"/>
    <col min="11019" max="11019" width="14.140625" style="830" customWidth="1"/>
    <col min="11020" max="11020" width="22.8515625" style="830" customWidth="1"/>
    <col min="11021" max="11021" width="24.421875" style="830" customWidth="1"/>
    <col min="11022" max="11063" width="12.57421875" style="830" hidden="1" customWidth="1"/>
    <col min="11064" max="11250" width="12.57421875" style="830" customWidth="1"/>
    <col min="11251" max="11251" width="7.140625" style="830" customWidth="1"/>
    <col min="11252" max="11252" width="37.140625" style="830" customWidth="1"/>
    <col min="11253" max="11253" width="27.140625" style="830" customWidth="1"/>
    <col min="11254" max="11254" width="37.28125" style="830" customWidth="1"/>
    <col min="11255" max="11255" width="15.7109375" style="830" customWidth="1"/>
    <col min="11256" max="11256" width="14.00390625" style="830" customWidth="1"/>
    <col min="11257" max="11257" width="18.28125" style="830" customWidth="1"/>
    <col min="11258" max="11258" width="19.8515625" style="830" customWidth="1"/>
    <col min="11259" max="11259" width="12.8515625" style="830" customWidth="1"/>
    <col min="11260" max="11260" width="43.140625" style="830" customWidth="1"/>
    <col min="11261" max="11261" width="11.8515625" style="830" customWidth="1"/>
    <col min="11262" max="11262" width="12.421875" style="830" customWidth="1"/>
    <col min="11263" max="11274" width="5.00390625" style="830" customWidth="1"/>
    <col min="11275" max="11275" width="14.140625" style="830" customWidth="1"/>
    <col min="11276" max="11276" width="22.8515625" style="830" customWidth="1"/>
    <col min="11277" max="11277" width="24.421875" style="830" customWidth="1"/>
    <col min="11278" max="11319" width="12.57421875" style="830" hidden="1" customWidth="1"/>
    <col min="11320" max="11506" width="12.57421875" style="830" customWidth="1"/>
    <col min="11507" max="11507" width="7.140625" style="830" customWidth="1"/>
    <col min="11508" max="11508" width="37.140625" style="830" customWidth="1"/>
    <col min="11509" max="11509" width="27.140625" style="830" customWidth="1"/>
    <col min="11510" max="11510" width="37.28125" style="830" customWidth="1"/>
    <col min="11511" max="11511" width="15.7109375" style="830" customWidth="1"/>
    <col min="11512" max="11512" width="14.00390625" style="830" customWidth="1"/>
    <col min="11513" max="11513" width="18.28125" style="830" customWidth="1"/>
    <col min="11514" max="11514" width="19.8515625" style="830" customWidth="1"/>
    <col min="11515" max="11515" width="12.8515625" style="830" customWidth="1"/>
    <col min="11516" max="11516" width="43.140625" style="830" customWidth="1"/>
    <col min="11517" max="11517" width="11.8515625" style="830" customWidth="1"/>
    <col min="11518" max="11518" width="12.421875" style="830" customWidth="1"/>
    <col min="11519" max="11530" width="5.00390625" style="830" customWidth="1"/>
    <col min="11531" max="11531" width="14.140625" style="830" customWidth="1"/>
    <col min="11532" max="11532" width="22.8515625" style="830" customWidth="1"/>
    <col min="11533" max="11533" width="24.421875" style="830" customWidth="1"/>
    <col min="11534" max="11575" width="12.57421875" style="830" hidden="1" customWidth="1"/>
    <col min="11576" max="11762" width="12.57421875" style="830" customWidth="1"/>
    <col min="11763" max="11763" width="7.140625" style="830" customWidth="1"/>
    <col min="11764" max="11764" width="37.140625" style="830" customWidth="1"/>
    <col min="11765" max="11765" width="27.140625" style="830" customWidth="1"/>
    <col min="11766" max="11766" width="37.28125" style="830" customWidth="1"/>
    <col min="11767" max="11767" width="15.7109375" style="830" customWidth="1"/>
    <col min="11768" max="11768" width="14.00390625" style="830" customWidth="1"/>
    <col min="11769" max="11769" width="18.28125" style="830" customWidth="1"/>
    <col min="11770" max="11770" width="19.8515625" style="830" customWidth="1"/>
    <col min="11771" max="11771" width="12.8515625" style="830" customWidth="1"/>
    <col min="11772" max="11772" width="43.140625" style="830" customWidth="1"/>
    <col min="11773" max="11773" width="11.8515625" style="830" customWidth="1"/>
    <col min="11774" max="11774" width="12.421875" style="830" customWidth="1"/>
    <col min="11775" max="11786" width="5.00390625" style="830" customWidth="1"/>
    <col min="11787" max="11787" width="14.140625" style="830" customWidth="1"/>
    <col min="11788" max="11788" width="22.8515625" style="830" customWidth="1"/>
    <col min="11789" max="11789" width="24.421875" style="830" customWidth="1"/>
    <col min="11790" max="11831" width="12.57421875" style="830" hidden="1" customWidth="1"/>
    <col min="11832" max="12018" width="12.57421875" style="830" customWidth="1"/>
    <col min="12019" max="12019" width="7.140625" style="830" customWidth="1"/>
    <col min="12020" max="12020" width="37.140625" style="830" customWidth="1"/>
    <col min="12021" max="12021" width="27.140625" style="830" customWidth="1"/>
    <col min="12022" max="12022" width="37.28125" style="830" customWidth="1"/>
    <col min="12023" max="12023" width="15.7109375" style="830" customWidth="1"/>
    <col min="12024" max="12024" width="14.00390625" style="830" customWidth="1"/>
    <col min="12025" max="12025" width="18.28125" style="830" customWidth="1"/>
    <col min="12026" max="12026" width="19.8515625" style="830" customWidth="1"/>
    <col min="12027" max="12027" width="12.8515625" style="830" customWidth="1"/>
    <col min="12028" max="12028" width="43.140625" style="830" customWidth="1"/>
    <col min="12029" max="12029" width="11.8515625" style="830" customWidth="1"/>
    <col min="12030" max="12030" width="12.421875" style="830" customWidth="1"/>
    <col min="12031" max="12042" width="5.00390625" style="830" customWidth="1"/>
    <col min="12043" max="12043" width="14.140625" style="830" customWidth="1"/>
    <col min="12044" max="12044" width="22.8515625" style="830" customWidth="1"/>
    <col min="12045" max="12045" width="24.421875" style="830" customWidth="1"/>
    <col min="12046" max="12087" width="12.57421875" style="830" hidden="1" customWidth="1"/>
    <col min="12088" max="12274" width="12.57421875" style="830" customWidth="1"/>
    <col min="12275" max="12275" width="7.140625" style="830" customWidth="1"/>
    <col min="12276" max="12276" width="37.140625" style="830" customWidth="1"/>
    <col min="12277" max="12277" width="27.140625" style="830" customWidth="1"/>
    <col min="12278" max="12278" width="37.28125" style="830" customWidth="1"/>
    <col min="12279" max="12279" width="15.7109375" style="830" customWidth="1"/>
    <col min="12280" max="12280" width="14.00390625" style="830" customWidth="1"/>
    <col min="12281" max="12281" width="18.28125" style="830" customWidth="1"/>
    <col min="12282" max="12282" width="19.8515625" style="830" customWidth="1"/>
    <col min="12283" max="12283" width="12.8515625" style="830" customWidth="1"/>
    <col min="12284" max="12284" width="43.140625" style="830" customWidth="1"/>
    <col min="12285" max="12285" width="11.8515625" style="830" customWidth="1"/>
    <col min="12286" max="12286" width="12.421875" style="830" customWidth="1"/>
    <col min="12287" max="12298" width="5.00390625" style="830" customWidth="1"/>
    <col min="12299" max="12299" width="14.140625" style="830" customWidth="1"/>
    <col min="12300" max="12300" width="22.8515625" style="830" customWidth="1"/>
    <col min="12301" max="12301" width="24.421875" style="830" customWidth="1"/>
    <col min="12302" max="12343" width="12.57421875" style="830" hidden="1" customWidth="1"/>
    <col min="12344" max="12530" width="12.57421875" style="830" customWidth="1"/>
    <col min="12531" max="12531" width="7.140625" style="830" customWidth="1"/>
    <col min="12532" max="12532" width="37.140625" style="830" customWidth="1"/>
    <col min="12533" max="12533" width="27.140625" style="830" customWidth="1"/>
    <col min="12534" max="12534" width="37.28125" style="830" customWidth="1"/>
    <col min="12535" max="12535" width="15.7109375" style="830" customWidth="1"/>
    <col min="12536" max="12536" width="14.00390625" style="830" customWidth="1"/>
    <col min="12537" max="12537" width="18.28125" style="830" customWidth="1"/>
    <col min="12538" max="12538" width="19.8515625" style="830" customWidth="1"/>
    <col min="12539" max="12539" width="12.8515625" style="830" customWidth="1"/>
    <col min="12540" max="12540" width="43.140625" style="830" customWidth="1"/>
    <col min="12541" max="12541" width="11.8515625" style="830" customWidth="1"/>
    <col min="12542" max="12542" width="12.421875" style="830" customWidth="1"/>
    <col min="12543" max="12554" width="5.00390625" style="830" customWidth="1"/>
    <col min="12555" max="12555" width="14.140625" style="830" customWidth="1"/>
    <col min="12556" max="12556" width="22.8515625" style="830" customWidth="1"/>
    <col min="12557" max="12557" width="24.421875" style="830" customWidth="1"/>
    <col min="12558" max="12599" width="12.57421875" style="830" hidden="1" customWidth="1"/>
    <col min="12600" max="12786" width="12.57421875" style="830" customWidth="1"/>
    <col min="12787" max="12787" width="7.140625" style="830" customWidth="1"/>
    <col min="12788" max="12788" width="37.140625" style="830" customWidth="1"/>
    <col min="12789" max="12789" width="27.140625" style="830" customWidth="1"/>
    <col min="12790" max="12790" width="37.28125" style="830" customWidth="1"/>
    <col min="12791" max="12791" width="15.7109375" style="830" customWidth="1"/>
    <col min="12792" max="12792" width="14.00390625" style="830" customWidth="1"/>
    <col min="12793" max="12793" width="18.28125" style="830" customWidth="1"/>
    <col min="12794" max="12794" width="19.8515625" style="830" customWidth="1"/>
    <col min="12795" max="12795" width="12.8515625" style="830" customWidth="1"/>
    <col min="12796" max="12796" width="43.140625" style="830" customWidth="1"/>
    <col min="12797" max="12797" width="11.8515625" style="830" customWidth="1"/>
    <col min="12798" max="12798" width="12.421875" style="830" customWidth="1"/>
    <col min="12799" max="12810" width="5.00390625" style="830" customWidth="1"/>
    <col min="12811" max="12811" width="14.140625" style="830" customWidth="1"/>
    <col min="12812" max="12812" width="22.8515625" style="830" customWidth="1"/>
    <col min="12813" max="12813" width="24.421875" style="830" customWidth="1"/>
    <col min="12814" max="12855" width="12.57421875" style="830" hidden="1" customWidth="1"/>
    <col min="12856" max="13042" width="12.57421875" style="830" customWidth="1"/>
    <col min="13043" max="13043" width="7.140625" style="830" customWidth="1"/>
    <col min="13044" max="13044" width="37.140625" style="830" customWidth="1"/>
    <col min="13045" max="13045" width="27.140625" style="830" customWidth="1"/>
    <col min="13046" max="13046" width="37.28125" style="830" customWidth="1"/>
    <col min="13047" max="13047" width="15.7109375" style="830" customWidth="1"/>
    <col min="13048" max="13048" width="14.00390625" style="830" customWidth="1"/>
    <col min="13049" max="13049" width="18.28125" style="830" customWidth="1"/>
    <col min="13050" max="13050" width="19.8515625" style="830" customWidth="1"/>
    <col min="13051" max="13051" width="12.8515625" style="830" customWidth="1"/>
    <col min="13052" max="13052" width="43.140625" style="830" customWidth="1"/>
    <col min="13053" max="13053" width="11.8515625" style="830" customWidth="1"/>
    <col min="13054" max="13054" width="12.421875" style="830" customWidth="1"/>
    <col min="13055" max="13066" width="5.00390625" style="830" customWidth="1"/>
    <col min="13067" max="13067" width="14.140625" style="830" customWidth="1"/>
    <col min="13068" max="13068" width="22.8515625" style="830" customWidth="1"/>
    <col min="13069" max="13069" width="24.421875" style="830" customWidth="1"/>
    <col min="13070" max="13111" width="12.57421875" style="830" hidden="1" customWidth="1"/>
    <col min="13112" max="13298" width="12.57421875" style="830" customWidth="1"/>
    <col min="13299" max="13299" width="7.140625" style="830" customWidth="1"/>
    <col min="13300" max="13300" width="37.140625" style="830" customWidth="1"/>
    <col min="13301" max="13301" width="27.140625" style="830" customWidth="1"/>
    <col min="13302" max="13302" width="37.28125" style="830" customWidth="1"/>
    <col min="13303" max="13303" width="15.7109375" style="830" customWidth="1"/>
    <col min="13304" max="13304" width="14.00390625" style="830" customWidth="1"/>
    <col min="13305" max="13305" width="18.28125" style="830" customWidth="1"/>
    <col min="13306" max="13306" width="19.8515625" style="830" customWidth="1"/>
    <col min="13307" max="13307" width="12.8515625" style="830" customWidth="1"/>
    <col min="13308" max="13308" width="43.140625" style="830" customWidth="1"/>
    <col min="13309" max="13309" width="11.8515625" style="830" customWidth="1"/>
    <col min="13310" max="13310" width="12.421875" style="830" customWidth="1"/>
    <col min="13311" max="13322" width="5.00390625" style="830" customWidth="1"/>
    <col min="13323" max="13323" width="14.140625" style="830" customWidth="1"/>
    <col min="13324" max="13324" width="22.8515625" style="830" customWidth="1"/>
    <col min="13325" max="13325" width="24.421875" style="830" customWidth="1"/>
    <col min="13326" max="13367" width="12.57421875" style="830" hidden="1" customWidth="1"/>
    <col min="13368" max="13554" width="12.57421875" style="830" customWidth="1"/>
    <col min="13555" max="13555" width="7.140625" style="830" customWidth="1"/>
    <col min="13556" max="13556" width="37.140625" style="830" customWidth="1"/>
    <col min="13557" max="13557" width="27.140625" style="830" customWidth="1"/>
    <col min="13558" max="13558" width="37.28125" style="830" customWidth="1"/>
    <col min="13559" max="13559" width="15.7109375" style="830" customWidth="1"/>
    <col min="13560" max="13560" width="14.00390625" style="830" customWidth="1"/>
    <col min="13561" max="13561" width="18.28125" style="830" customWidth="1"/>
    <col min="13562" max="13562" width="19.8515625" style="830" customWidth="1"/>
    <col min="13563" max="13563" width="12.8515625" style="830" customWidth="1"/>
    <col min="13564" max="13564" width="43.140625" style="830" customWidth="1"/>
    <col min="13565" max="13565" width="11.8515625" style="830" customWidth="1"/>
    <col min="13566" max="13566" width="12.421875" style="830" customWidth="1"/>
    <col min="13567" max="13578" width="5.00390625" style="830" customWidth="1"/>
    <col min="13579" max="13579" width="14.140625" style="830" customWidth="1"/>
    <col min="13580" max="13580" width="22.8515625" style="830" customWidth="1"/>
    <col min="13581" max="13581" width="24.421875" style="830" customWidth="1"/>
    <col min="13582" max="13623" width="12.57421875" style="830" hidden="1" customWidth="1"/>
    <col min="13624" max="13810" width="12.57421875" style="830" customWidth="1"/>
    <col min="13811" max="13811" width="7.140625" style="830" customWidth="1"/>
    <col min="13812" max="13812" width="37.140625" style="830" customWidth="1"/>
    <col min="13813" max="13813" width="27.140625" style="830" customWidth="1"/>
    <col min="13814" max="13814" width="37.28125" style="830" customWidth="1"/>
    <col min="13815" max="13815" width="15.7109375" style="830" customWidth="1"/>
    <col min="13816" max="13816" width="14.00390625" style="830" customWidth="1"/>
    <col min="13817" max="13817" width="18.28125" style="830" customWidth="1"/>
    <col min="13818" max="13818" width="19.8515625" style="830" customWidth="1"/>
    <col min="13819" max="13819" width="12.8515625" style="830" customWidth="1"/>
    <col min="13820" max="13820" width="43.140625" style="830" customWidth="1"/>
    <col min="13821" max="13821" width="11.8515625" style="830" customWidth="1"/>
    <col min="13822" max="13822" width="12.421875" style="830" customWidth="1"/>
    <col min="13823" max="13834" width="5.00390625" style="830" customWidth="1"/>
    <col min="13835" max="13835" width="14.140625" style="830" customWidth="1"/>
    <col min="13836" max="13836" width="22.8515625" style="830" customWidth="1"/>
    <col min="13837" max="13837" width="24.421875" style="830" customWidth="1"/>
    <col min="13838" max="13879" width="12.57421875" style="830" hidden="1" customWidth="1"/>
    <col min="13880" max="14066" width="12.57421875" style="830" customWidth="1"/>
    <col min="14067" max="14067" width="7.140625" style="830" customWidth="1"/>
    <col min="14068" max="14068" width="37.140625" style="830" customWidth="1"/>
    <col min="14069" max="14069" width="27.140625" style="830" customWidth="1"/>
    <col min="14070" max="14070" width="37.28125" style="830" customWidth="1"/>
    <col min="14071" max="14071" width="15.7109375" style="830" customWidth="1"/>
    <col min="14072" max="14072" width="14.00390625" style="830" customWidth="1"/>
    <col min="14073" max="14073" width="18.28125" style="830" customWidth="1"/>
    <col min="14074" max="14074" width="19.8515625" style="830" customWidth="1"/>
    <col min="14075" max="14075" width="12.8515625" style="830" customWidth="1"/>
    <col min="14076" max="14076" width="43.140625" style="830" customWidth="1"/>
    <col min="14077" max="14077" width="11.8515625" style="830" customWidth="1"/>
    <col min="14078" max="14078" width="12.421875" style="830" customWidth="1"/>
    <col min="14079" max="14090" width="5.00390625" style="830" customWidth="1"/>
    <col min="14091" max="14091" width="14.140625" style="830" customWidth="1"/>
    <col min="14092" max="14092" width="22.8515625" style="830" customWidth="1"/>
    <col min="14093" max="14093" width="24.421875" style="830" customWidth="1"/>
    <col min="14094" max="14135" width="12.57421875" style="830" hidden="1" customWidth="1"/>
    <col min="14136" max="14322" width="12.57421875" style="830" customWidth="1"/>
    <col min="14323" max="14323" width="7.140625" style="830" customWidth="1"/>
    <col min="14324" max="14324" width="37.140625" style="830" customWidth="1"/>
    <col min="14325" max="14325" width="27.140625" style="830" customWidth="1"/>
    <col min="14326" max="14326" width="37.28125" style="830" customWidth="1"/>
    <col min="14327" max="14327" width="15.7109375" style="830" customWidth="1"/>
    <col min="14328" max="14328" width="14.00390625" style="830" customWidth="1"/>
    <col min="14329" max="14329" width="18.28125" style="830" customWidth="1"/>
    <col min="14330" max="14330" width="19.8515625" style="830" customWidth="1"/>
    <col min="14331" max="14331" width="12.8515625" style="830" customWidth="1"/>
    <col min="14332" max="14332" width="43.140625" style="830" customWidth="1"/>
    <col min="14333" max="14333" width="11.8515625" style="830" customWidth="1"/>
    <col min="14334" max="14334" width="12.421875" style="830" customWidth="1"/>
    <col min="14335" max="14346" width="5.00390625" style="830" customWidth="1"/>
    <col min="14347" max="14347" width="14.140625" style="830" customWidth="1"/>
    <col min="14348" max="14348" width="22.8515625" style="830" customWidth="1"/>
    <col min="14349" max="14349" width="24.421875" style="830" customWidth="1"/>
    <col min="14350" max="14391" width="12.57421875" style="830" hidden="1" customWidth="1"/>
    <col min="14392" max="14578" width="12.57421875" style="830" customWidth="1"/>
    <col min="14579" max="14579" width="7.140625" style="830" customWidth="1"/>
    <col min="14580" max="14580" width="37.140625" style="830" customWidth="1"/>
    <col min="14581" max="14581" width="27.140625" style="830" customWidth="1"/>
    <col min="14582" max="14582" width="37.28125" style="830" customWidth="1"/>
    <col min="14583" max="14583" width="15.7109375" style="830" customWidth="1"/>
    <col min="14584" max="14584" width="14.00390625" style="830" customWidth="1"/>
    <col min="14585" max="14585" width="18.28125" style="830" customWidth="1"/>
    <col min="14586" max="14586" width="19.8515625" style="830" customWidth="1"/>
    <col min="14587" max="14587" width="12.8515625" style="830" customWidth="1"/>
    <col min="14588" max="14588" width="43.140625" style="830" customWidth="1"/>
    <col min="14589" max="14589" width="11.8515625" style="830" customWidth="1"/>
    <col min="14590" max="14590" width="12.421875" style="830" customWidth="1"/>
    <col min="14591" max="14602" width="5.00390625" style="830" customWidth="1"/>
    <col min="14603" max="14603" width="14.140625" style="830" customWidth="1"/>
    <col min="14604" max="14604" width="22.8515625" style="830" customWidth="1"/>
    <col min="14605" max="14605" width="24.421875" style="830" customWidth="1"/>
    <col min="14606" max="14647" width="12.57421875" style="830" hidden="1" customWidth="1"/>
    <col min="14648" max="14834" width="12.57421875" style="830" customWidth="1"/>
    <col min="14835" max="14835" width="7.140625" style="830" customWidth="1"/>
    <col min="14836" max="14836" width="37.140625" style="830" customWidth="1"/>
    <col min="14837" max="14837" width="27.140625" style="830" customWidth="1"/>
    <col min="14838" max="14838" width="37.28125" style="830" customWidth="1"/>
    <col min="14839" max="14839" width="15.7109375" style="830" customWidth="1"/>
    <col min="14840" max="14840" width="14.00390625" style="830" customWidth="1"/>
    <col min="14841" max="14841" width="18.28125" style="830" customWidth="1"/>
    <col min="14842" max="14842" width="19.8515625" style="830" customWidth="1"/>
    <col min="14843" max="14843" width="12.8515625" style="830" customWidth="1"/>
    <col min="14844" max="14844" width="43.140625" style="830" customWidth="1"/>
    <col min="14845" max="14845" width="11.8515625" style="830" customWidth="1"/>
    <col min="14846" max="14846" width="12.421875" style="830" customWidth="1"/>
    <col min="14847" max="14858" width="5.00390625" style="830" customWidth="1"/>
    <col min="14859" max="14859" width="14.140625" style="830" customWidth="1"/>
    <col min="14860" max="14860" width="22.8515625" style="830" customWidth="1"/>
    <col min="14861" max="14861" width="24.421875" style="830" customWidth="1"/>
    <col min="14862" max="14903" width="12.57421875" style="830" hidden="1" customWidth="1"/>
    <col min="14904" max="15090" width="12.57421875" style="830" customWidth="1"/>
    <col min="15091" max="15091" width="7.140625" style="830" customWidth="1"/>
    <col min="15092" max="15092" width="37.140625" style="830" customWidth="1"/>
    <col min="15093" max="15093" width="27.140625" style="830" customWidth="1"/>
    <col min="15094" max="15094" width="37.28125" style="830" customWidth="1"/>
    <col min="15095" max="15095" width="15.7109375" style="830" customWidth="1"/>
    <col min="15096" max="15096" width="14.00390625" style="830" customWidth="1"/>
    <col min="15097" max="15097" width="18.28125" style="830" customWidth="1"/>
    <col min="15098" max="15098" width="19.8515625" style="830" customWidth="1"/>
    <col min="15099" max="15099" width="12.8515625" style="830" customWidth="1"/>
    <col min="15100" max="15100" width="43.140625" style="830" customWidth="1"/>
    <col min="15101" max="15101" width="11.8515625" style="830" customWidth="1"/>
    <col min="15102" max="15102" width="12.421875" style="830" customWidth="1"/>
    <col min="15103" max="15114" width="5.00390625" style="830" customWidth="1"/>
    <col min="15115" max="15115" width="14.140625" style="830" customWidth="1"/>
    <col min="15116" max="15116" width="22.8515625" style="830" customWidth="1"/>
    <col min="15117" max="15117" width="24.421875" style="830" customWidth="1"/>
    <col min="15118" max="15159" width="12.57421875" style="830" hidden="1" customWidth="1"/>
    <col min="15160" max="15346" width="12.57421875" style="830" customWidth="1"/>
    <col min="15347" max="15347" width="7.140625" style="830" customWidth="1"/>
    <col min="15348" max="15348" width="37.140625" style="830" customWidth="1"/>
    <col min="15349" max="15349" width="27.140625" style="830" customWidth="1"/>
    <col min="15350" max="15350" width="37.28125" style="830" customWidth="1"/>
    <col min="15351" max="15351" width="15.7109375" style="830" customWidth="1"/>
    <col min="15352" max="15352" width="14.00390625" style="830" customWidth="1"/>
    <col min="15353" max="15353" width="18.28125" style="830" customWidth="1"/>
    <col min="15354" max="15354" width="19.8515625" style="830" customWidth="1"/>
    <col min="15355" max="15355" width="12.8515625" style="830" customWidth="1"/>
    <col min="15356" max="15356" width="43.140625" style="830" customWidth="1"/>
    <col min="15357" max="15357" width="11.8515625" style="830" customWidth="1"/>
    <col min="15358" max="15358" width="12.421875" style="830" customWidth="1"/>
    <col min="15359" max="15370" width="5.00390625" style="830" customWidth="1"/>
    <col min="15371" max="15371" width="14.140625" style="830" customWidth="1"/>
    <col min="15372" max="15372" width="22.8515625" style="830" customWidth="1"/>
    <col min="15373" max="15373" width="24.421875" style="830" customWidth="1"/>
    <col min="15374" max="15415" width="12.57421875" style="830" hidden="1" customWidth="1"/>
    <col min="15416" max="15602" width="12.57421875" style="830" customWidth="1"/>
    <col min="15603" max="15603" width="7.140625" style="830" customWidth="1"/>
    <col min="15604" max="15604" width="37.140625" style="830" customWidth="1"/>
    <col min="15605" max="15605" width="27.140625" style="830" customWidth="1"/>
    <col min="15606" max="15606" width="37.28125" style="830" customWidth="1"/>
    <col min="15607" max="15607" width="15.7109375" style="830" customWidth="1"/>
    <col min="15608" max="15608" width="14.00390625" style="830" customWidth="1"/>
    <col min="15609" max="15609" width="18.28125" style="830" customWidth="1"/>
    <col min="15610" max="15610" width="19.8515625" style="830" customWidth="1"/>
    <col min="15611" max="15611" width="12.8515625" style="830" customWidth="1"/>
    <col min="15612" max="15612" width="43.140625" style="830" customWidth="1"/>
    <col min="15613" max="15613" width="11.8515625" style="830" customWidth="1"/>
    <col min="15614" max="15614" width="12.421875" style="830" customWidth="1"/>
    <col min="15615" max="15626" width="5.00390625" style="830" customWidth="1"/>
    <col min="15627" max="15627" width="14.140625" style="830" customWidth="1"/>
    <col min="15628" max="15628" width="22.8515625" style="830" customWidth="1"/>
    <col min="15629" max="15629" width="24.421875" style="830" customWidth="1"/>
    <col min="15630" max="15671" width="12.57421875" style="830" hidden="1" customWidth="1"/>
    <col min="15672" max="15858" width="12.57421875" style="830" customWidth="1"/>
    <col min="15859" max="15859" width="7.140625" style="830" customWidth="1"/>
    <col min="15860" max="15860" width="37.140625" style="830" customWidth="1"/>
    <col min="15861" max="15861" width="27.140625" style="830" customWidth="1"/>
    <col min="15862" max="15862" width="37.28125" style="830" customWidth="1"/>
    <col min="15863" max="15863" width="15.7109375" style="830" customWidth="1"/>
    <col min="15864" max="15864" width="14.00390625" style="830" customWidth="1"/>
    <col min="15865" max="15865" width="18.28125" style="830" customWidth="1"/>
    <col min="15866" max="15866" width="19.8515625" style="830" customWidth="1"/>
    <col min="15867" max="15867" width="12.8515625" style="830" customWidth="1"/>
    <col min="15868" max="15868" width="43.140625" style="830" customWidth="1"/>
    <col min="15869" max="15869" width="11.8515625" style="830" customWidth="1"/>
    <col min="15870" max="15870" width="12.421875" style="830" customWidth="1"/>
    <col min="15871" max="15882" width="5.00390625" style="830" customWidth="1"/>
    <col min="15883" max="15883" width="14.140625" style="830" customWidth="1"/>
    <col min="15884" max="15884" width="22.8515625" style="830" customWidth="1"/>
    <col min="15885" max="15885" width="24.421875" style="830" customWidth="1"/>
    <col min="15886" max="15927" width="12.57421875" style="830" hidden="1" customWidth="1"/>
    <col min="15928" max="16114" width="12.57421875" style="830" customWidth="1"/>
    <col min="16115" max="16115" width="7.140625" style="830" customWidth="1"/>
    <col min="16116" max="16116" width="37.140625" style="830" customWidth="1"/>
    <col min="16117" max="16117" width="27.140625" style="830" customWidth="1"/>
    <col min="16118" max="16118" width="37.28125" style="830" customWidth="1"/>
    <col min="16119" max="16119" width="15.7109375" style="830" customWidth="1"/>
    <col min="16120" max="16120" width="14.00390625" style="830" customWidth="1"/>
    <col min="16121" max="16121" width="18.28125" style="830" customWidth="1"/>
    <col min="16122" max="16122" width="19.8515625" style="830" customWidth="1"/>
    <col min="16123" max="16123" width="12.8515625" style="830" customWidth="1"/>
    <col min="16124" max="16124" width="43.140625" style="830" customWidth="1"/>
    <col min="16125" max="16125" width="11.8515625" style="830" customWidth="1"/>
    <col min="16126" max="16126" width="12.421875" style="830" customWidth="1"/>
    <col min="16127" max="16138" width="5.00390625" style="830" customWidth="1"/>
    <col min="16139" max="16139" width="14.140625" style="830" customWidth="1"/>
    <col min="16140" max="16140" width="22.8515625" style="830" customWidth="1"/>
    <col min="16141" max="16141" width="24.421875" style="830" customWidth="1"/>
    <col min="16142" max="16183" width="12.57421875" style="830" hidden="1" customWidth="1"/>
    <col min="16184" max="16384" width="12.57421875" style="830" customWidth="1"/>
  </cols>
  <sheetData>
    <row r="1" spans="1:55" ht="15.75" customHeight="1" thickBot="1">
      <c r="A1" s="2514"/>
      <c r="B1" s="2514"/>
      <c r="C1" s="2514"/>
      <c r="D1" s="2515" t="s">
        <v>0</v>
      </c>
      <c r="E1" s="2515"/>
      <c r="F1" s="2515"/>
      <c r="G1" s="2515"/>
      <c r="H1" s="2515"/>
      <c r="I1" s="2515"/>
      <c r="J1" s="2515"/>
      <c r="K1" s="2515"/>
      <c r="L1" s="2515"/>
      <c r="M1" s="2515"/>
      <c r="N1" s="2515"/>
      <c r="O1" s="2515"/>
      <c r="P1" s="2515"/>
      <c r="Q1" s="2515"/>
      <c r="R1" s="2515"/>
      <c r="S1" s="2515"/>
      <c r="T1" s="2515"/>
      <c r="U1" s="2515"/>
      <c r="V1" s="2515"/>
      <c r="W1" s="2515"/>
      <c r="X1" s="2515"/>
      <c r="Y1" s="2515"/>
      <c r="Z1" s="2515"/>
      <c r="AA1" s="2515"/>
      <c r="AB1" s="2515"/>
      <c r="AC1" s="2515"/>
      <c r="AD1" s="2515"/>
      <c r="AE1" s="2515"/>
      <c r="AF1" s="2515"/>
      <c r="AG1" s="2515"/>
      <c r="AH1" s="2515"/>
      <c r="AI1" s="2515"/>
      <c r="AJ1" s="2515"/>
      <c r="AK1" s="2515"/>
      <c r="AL1" s="2515"/>
      <c r="AM1" s="2515"/>
      <c r="AN1" s="2515"/>
      <c r="AO1" s="2515"/>
      <c r="AP1" s="2515"/>
      <c r="AQ1" s="2515"/>
      <c r="AR1" s="2515"/>
      <c r="AS1" s="2515"/>
      <c r="AT1" s="2515"/>
      <c r="AU1" s="2515"/>
      <c r="AV1" s="2515"/>
      <c r="AW1" s="2515"/>
      <c r="AX1" s="2515"/>
      <c r="AY1" s="2515"/>
      <c r="AZ1" s="2515"/>
      <c r="BA1" s="2515"/>
      <c r="BB1" s="2515"/>
      <c r="BC1" s="2515"/>
    </row>
    <row r="2" spans="1:55" ht="15.75" customHeight="1" thickBot="1">
      <c r="A2" s="2514"/>
      <c r="B2" s="2514"/>
      <c r="C2" s="2514"/>
      <c r="D2" s="2515"/>
      <c r="E2" s="2515"/>
      <c r="F2" s="2515"/>
      <c r="G2" s="2515"/>
      <c r="H2" s="2515"/>
      <c r="I2" s="2515"/>
      <c r="J2" s="2515"/>
      <c r="K2" s="2515"/>
      <c r="L2" s="2515"/>
      <c r="M2" s="2515"/>
      <c r="N2" s="2515"/>
      <c r="O2" s="2515"/>
      <c r="P2" s="2515"/>
      <c r="Q2" s="2515"/>
      <c r="R2" s="2515"/>
      <c r="S2" s="2515"/>
      <c r="T2" s="2515"/>
      <c r="U2" s="2515"/>
      <c r="V2" s="2515"/>
      <c r="W2" s="2515"/>
      <c r="X2" s="2515"/>
      <c r="Y2" s="2515"/>
      <c r="Z2" s="2515"/>
      <c r="AA2" s="2515"/>
      <c r="AB2" s="2515"/>
      <c r="AC2" s="2515"/>
      <c r="AD2" s="2515"/>
      <c r="AE2" s="2515"/>
      <c r="AF2" s="2515"/>
      <c r="AG2" s="2515"/>
      <c r="AH2" s="2515"/>
      <c r="AI2" s="2515"/>
      <c r="AJ2" s="2515"/>
      <c r="AK2" s="2515"/>
      <c r="AL2" s="2515"/>
      <c r="AM2" s="2515"/>
      <c r="AN2" s="2515"/>
      <c r="AO2" s="2515"/>
      <c r="AP2" s="2515"/>
      <c r="AQ2" s="2515"/>
      <c r="AR2" s="2515"/>
      <c r="AS2" s="2515"/>
      <c r="AT2" s="2515"/>
      <c r="AU2" s="2515"/>
      <c r="AV2" s="2515"/>
      <c r="AW2" s="2515"/>
      <c r="AX2" s="2515"/>
      <c r="AY2" s="2515"/>
      <c r="AZ2" s="2515"/>
      <c r="BA2" s="2515"/>
      <c r="BB2" s="2515"/>
      <c r="BC2" s="2515"/>
    </row>
    <row r="3" spans="1:55" ht="15.75" customHeight="1" thickBot="1">
      <c r="A3" s="2514"/>
      <c r="B3" s="2514"/>
      <c r="C3" s="2514"/>
      <c r="D3" s="2516" t="s">
        <v>3</v>
      </c>
      <c r="E3" s="2516"/>
      <c r="F3" s="2516"/>
      <c r="G3" s="2516"/>
      <c r="H3" s="2516"/>
      <c r="I3" s="2516"/>
      <c r="J3" s="2516"/>
      <c r="K3" s="2516"/>
      <c r="L3" s="2516"/>
      <c r="M3" s="2516"/>
      <c r="N3" s="2516"/>
      <c r="O3" s="2516"/>
      <c r="P3" s="2516"/>
      <c r="Q3" s="2516"/>
      <c r="R3" s="2516"/>
      <c r="S3" s="2516"/>
      <c r="T3" s="2516"/>
      <c r="U3" s="2516"/>
      <c r="V3" s="2516"/>
      <c r="W3" s="2516"/>
      <c r="X3" s="2516"/>
      <c r="Y3" s="2516"/>
      <c r="Z3" s="2516"/>
      <c r="AA3" s="2516"/>
      <c r="AB3" s="2516"/>
      <c r="AC3" s="2516"/>
      <c r="AD3" s="2516"/>
      <c r="AE3" s="2516"/>
      <c r="AF3" s="2516"/>
      <c r="AG3" s="2516"/>
      <c r="AH3" s="2516"/>
      <c r="AI3" s="2516"/>
      <c r="AJ3" s="2516"/>
      <c r="AK3" s="2516"/>
      <c r="AL3" s="2516"/>
      <c r="AM3" s="2516"/>
      <c r="AN3" s="2516"/>
      <c r="AO3" s="2516"/>
      <c r="AP3" s="2516"/>
      <c r="AQ3" s="2516"/>
      <c r="AR3" s="2516"/>
      <c r="AS3" s="2516"/>
      <c r="AT3" s="2516"/>
      <c r="AU3" s="2516"/>
      <c r="AV3" s="2516"/>
      <c r="AW3" s="2516"/>
      <c r="AX3" s="2516"/>
      <c r="AY3" s="2516"/>
      <c r="AZ3" s="2516"/>
      <c r="BA3" s="2516"/>
      <c r="BB3" s="2516"/>
      <c r="BC3" s="2516"/>
    </row>
    <row r="4" spans="1:55" ht="15.75" customHeight="1" thickBot="1">
      <c r="A4" s="2514"/>
      <c r="B4" s="2514"/>
      <c r="C4" s="2514"/>
      <c r="D4" s="2516"/>
      <c r="E4" s="2516"/>
      <c r="F4" s="2516"/>
      <c r="G4" s="2516"/>
      <c r="H4" s="2516"/>
      <c r="I4" s="2516"/>
      <c r="J4" s="2516"/>
      <c r="K4" s="2516"/>
      <c r="L4" s="2516"/>
      <c r="M4" s="2516"/>
      <c r="N4" s="2516"/>
      <c r="O4" s="2516"/>
      <c r="P4" s="2516"/>
      <c r="Q4" s="2516"/>
      <c r="R4" s="2516"/>
      <c r="S4" s="2516"/>
      <c r="T4" s="2516"/>
      <c r="U4" s="2516"/>
      <c r="V4" s="2516"/>
      <c r="W4" s="2516"/>
      <c r="X4" s="2516"/>
      <c r="Y4" s="2516"/>
      <c r="Z4" s="2516"/>
      <c r="AA4" s="2516"/>
      <c r="AB4" s="2516"/>
      <c r="AC4" s="2516"/>
      <c r="AD4" s="2516"/>
      <c r="AE4" s="2516"/>
      <c r="AF4" s="2516"/>
      <c r="AG4" s="2516"/>
      <c r="AH4" s="2516"/>
      <c r="AI4" s="2516"/>
      <c r="AJ4" s="2516"/>
      <c r="AK4" s="2516"/>
      <c r="AL4" s="2516"/>
      <c r="AM4" s="2516"/>
      <c r="AN4" s="2516"/>
      <c r="AO4" s="2516"/>
      <c r="AP4" s="2516"/>
      <c r="AQ4" s="2516"/>
      <c r="AR4" s="2516"/>
      <c r="AS4" s="2516"/>
      <c r="AT4" s="2516"/>
      <c r="AU4" s="2516"/>
      <c r="AV4" s="2516"/>
      <c r="AW4" s="2517"/>
      <c r="AX4" s="2517"/>
      <c r="AY4" s="2517"/>
      <c r="AZ4" s="2517"/>
      <c r="BA4" s="2517"/>
      <c r="BB4" s="2517"/>
      <c r="BC4" s="2517"/>
    </row>
    <row r="5" spans="1:68" ht="21" customHeight="1" thickBot="1">
      <c r="A5" s="2859" t="s">
        <v>4</v>
      </c>
      <c r="B5" s="2859"/>
      <c r="C5" s="2859"/>
      <c r="D5" s="2859"/>
      <c r="E5" s="2859"/>
      <c r="F5" s="2859"/>
      <c r="G5" s="2859"/>
      <c r="H5" s="2859"/>
      <c r="I5" s="2859"/>
      <c r="J5" s="2859"/>
      <c r="K5" s="2859"/>
      <c r="L5" s="2859"/>
      <c r="M5" s="2859"/>
      <c r="N5" s="2859"/>
      <c r="O5" s="2859"/>
      <c r="P5" s="2859"/>
      <c r="Q5" s="2859"/>
      <c r="R5" s="2859"/>
      <c r="S5" s="2859"/>
      <c r="T5" s="2859"/>
      <c r="U5" s="2859"/>
      <c r="V5" s="2859"/>
      <c r="W5" s="2859"/>
      <c r="X5" s="2859"/>
      <c r="Y5" s="2859"/>
      <c r="Z5" s="2859"/>
      <c r="AA5" s="2859"/>
      <c r="AB5" s="2540" t="s">
        <v>4</v>
      </c>
      <c r="AC5" s="2540"/>
      <c r="AD5" s="2540"/>
      <c r="AE5" s="2540"/>
      <c r="AF5" s="2540"/>
      <c r="AG5" s="2540"/>
      <c r="AH5" s="2540"/>
      <c r="AI5" s="2540"/>
      <c r="AJ5" s="2540"/>
      <c r="AK5" s="2540"/>
      <c r="AL5" s="2540"/>
      <c r="AM5" s="2541" t="s">
        <v>4</v>
      </c>
      <c r="AN5" s="2541"/>
      <c r="AO5" s="2541"/>
      <c r="AP5" s="2541"/>
      <c r="AQ5" s="2541"/>
      <c r="AR5" s="2541"/>
      <c r="AS5" s="2541"/>
      <c r="AT5" s="2541"/>
      <c r="AU5" s="2541"/>
      <c r="AV5" s="2542"/>
      <c r="AW5" s="2520" t="s">
        <v>2852</v>
      </c>
      <c r="AX5" s="2521"/>
      <c r="AY5" s="2521"/>
      <c r="AZ5" s="2521"/>
      <c r="BA5" s="2521"/>
      <c r="BB5" s="2521"/>
      <c r="BC5" s="2521"/>
      <c r="BD5" s="2521"/>
      <c r="BE5" s="2521"/>
      <c r="BF5" s="2522"/>
      <c r="BG5" s="2575" t="s">
        <v>2856</v>
      </c>
      <c r="BH5" s="2576"/>
      <c r="BI5" s="2576"/>
      <c r="BJ5" s="2576"/>
      <c r="BK5" s="2576"/>
      <c r="BL5" s="2576"/>
      <c r="BM5" s="2576"/>
      <c r="BN5" s="2576"/>
      <c r="BO5" s="2576"/>
      <c r="BP5" s="2577"/>
    </row>
    <row r="6" spans="1:68" ht="15.75" customHeight="1">
      <c r="A6" s="2858" t="s">
        <v>5</v>
      </c>
      <c r="B6" s="2858"/>
      <c r="C6" s="2858"/>
      <c r="D6" s="2858"/>
      <c r="E6" s="2858"/>
      <c r="F6" s="2858"/>
      <c r="G6" s="2858"/>
      <c r="H6" s="2858"/>
      <c r="I6" s="2858"/>
      <c r="J6" s="2858"/>
      <c r="K6" s="2858"/>
      <c r="L6" s="2858"/>
      <c r="M6" s="2858"/>
      <c r="N6" s="2858"/>
      <c r="O6" s="2858"/>
      <c r="P6" s="2858"/>
      <c r="Q6" s="2858"/>
      <c r="R6" s="2858"/>
      <c r="S6" s="2858"/>
      <c r="T6" s="2858"/>
      <c r="U6" s="2858"/>
      <c r="V6" s="2858"/>
      <c r="W6" s="2858"/>
      <c r="X6" s="2858"/>
      <c r="Y6" s="2858"/>
      <c r="Z6" s="2858"/>
      <c r="AA6" s="2858"/>
      <c r="AB6" s="2540"/>
      <c r="AC6" s="2540"/>
      <c r="AD6" s="2540"/>
      <c r="AE6" s="2540"/>
      <c r="AF6" s="2540"/>
      <c r="AG6" s="2540"/>
      <c r="AH6" s="2540"/>
      <c r="AI6" s="2540"/>
      <c r="AJ6" s="2540"/>
      <c r="AK6" s="2540"/>
      <c r="AL6" s="2540"/>
      <c r="AM6" s="2541"/>
      <c r="AN6" s="2541"/>
      <c r="AO6" s="2541"/>
      <c r="AP6" s="2541"/>
      <c r="AQ6" s="2541"/>
      <c r="AR6" s="2541"/>
      <c r="AS6" s="2541"/>
      <c r="AT6" s="2541"/>
      <c r="AU6" s="2541"/>
      <c r="AV6" s="2542"/>
      <c r="AW6" s="2523"/>
      <c r="AX6" s="2524"/>
      <c r="AY6" s="2524"/>
      <c r="AZ6" s="2524"/>
      <c r="BA6" s="2524"/>
      <c r="BB6" s="2524"/>
      <c r="BC6" s="2524"/>
      <c r="BD6" s="2524"/>
      <c r="BE6" s="2524"/>
      <c r="BF6" s="2525"/>
      <c r="BG6" s="2578"/>
      <c r="BH6" s="2579"/>
      <c r="BI6" s="2579"/>
      <c r="BJ6" s="2579"/>
      <c r="BK6" s="2579"/>
      <c r="BL6" s="2579"/>
      <c r="BM6" s="2579"/>
      <c r="BN6" s="2579"/>
      <c r="BO6" s="2579"/>
      <c r="BP6" s="2580"/>
    </row>
    <row r="7" spans="1:68" ht="16.5" customHeight="1" thickBot="1">
      <c r="A7" s="2858"/>
      <c r="B7" s="2858"/>
      <c r="C7" s="2858"/>
      <c r="D7" s="2858"/>
      <c r="E7" s="2858"/>
      <c r="F7" s="2858"/>
      <c r="G7" s="2858"/>
      <c r="H7" s="2858"/>
      <c r="I7" s="2858"/>
      <c r="J7" s="2858"/>
      <c r="K7" s="2858"/>
      <c r="L7" s="2858"/>
      <c r="M7" s="2858"/>
      <c r="N7" s="2858"/>
      <c r="O7" s="2858"/>
      <c r="P7" s="2858"/>
      <c r="Q7" s="2858"/>
      <c r="R7" s="2858"/>
      <c r="S7" s="2858"/>
      <c r="T7" s="2858"/>
      <c r="U7" s="2858"/>
      <c r="V7" s="2858"/>
      <c r="W7" s="2858"/>
      <c r="X7" s="2858"/>
      <c r="Y7" s="2858"/>
      <c r="Z7" s="2858"/>
      <c r="AA7" s="2858"/>
      <c r="AB7" s="2536" t="s">
        <v>2452</v>
      </c>
      <c r="AC7" s="2536"/>
      <c r="AD7" s="2536"/>
      <c r="AE7" s="2536"/>
      <c r="AF7" s="2536"/>
      <c r="AG7" s="2536"/>
      <c r="AH7" s="2536"/>
      <c r="AI7" s="2536"/>
      <c r="AJ7" s="2536"/>
      <c r="AK7" s="2536"/>
      <c r="AL7" s="2536"/>
      <c r="AM7" s="2537" t="s">
        <v>2451</v>
      </c>
      <c r="AN7" s="2537"/>
      <c r="AO7" s="2537"/>
      <c r="AP7" s="2537"/>
      <c r="AQ7" s="2537"/>
      <c r="AR7" s="2537"/>
      <c r="AS7" s="2537"/>
      <c r="AT7" s="2537"/>
      <c r="AU7" s="2537"/>
      <c r="AV7" s="2538"/>
      <c r="AW7" s="2523"/>
      <c r="AX7" s="2524"/>
      <c r="AY7" s="2524"/>
      <c r="AZ7" s="2524"/>
      <c r="BA7" s="2524"/>
      <c r="BB7" s="2524"/>
      <c r="BC7" s="2524"/>
      <c r="BD7" s="2524"/>
      <c r="BE7" s="2524"/>
      <c r="BF7" s="2525"/>
      <c r="BG7" s="2578"/>
      <c r="BH7" s="2579"/>
      <c r="BI7" s="2579"/>
      <c r="BJ7" s="2579"/>
      <c r="BK7" s="2579"/>
      <c r="BL7" s="2579"/>
      <c r="BM7" s="2579"/>
      <c r="BN7" s="2579"/>
      <c r="BO7" s="2579"/>
      <c r="BP7" s="2580"/>
    </row>
    <row r="8" spans="1:68" ht="16.5" customHeight="1" thickBot="1">
      <c r="A8" s="2858" t="s">
        <v>6</v>
      </c>
      <c r="B8" s="2858"/>
      <c r="C8" s="2858"/>
      <c r="D8" s="2858"/>
      <c r="E8" s="2858"/>
      <c r="F8" s="2858"/>
      <c r="G8" s="2858"/>
      <c r="H8" s="2858"/>
      <c r="I8" s="2858"/>
      <c r="J8" s="2858"/>
      <c r="K8" s="2858"/>
      <c r="L8" s="2858"/>
      <c r="M8" s="2858"/>
      <c r="N8" s="2858"/>
      <c r="O8" s="2858"/>
      <c r="P8" s="2858"/>
      <c r="Q8" s="2858"/>
      <c r="R8" s="2858"/>
      <c r="S8" s="2858"/>
      <c r="T8" s="2858"/>
      <c r="U8" s="2858"/>
      <c r="V8" s="2858"/>
      <c r="W8" s="2858"/>
      <c r="X8" s="2858"/>
      <c r="Y8" s="2858"/>
      <c r="Z8" s="2858"/>
      <c r="AA8" s="2858"/>
      <c r="AB8" s="2536"/>
      <c r="AC8" s="2536"/>
      <c r="AD8" s="2536"/>
      <c r="AE8" s="2536"/>
      <c r="AF8" s="2536"/>
      <c r="AG8" s="2536"/>
      <c r="AH8" s="2536"/>
      <c r="AI8" s="2536"/>
      <c r="AJ8" s="2536"/>
      <c r="AK8" s="2536"/>
      <c r="AL8" s="2536"/>
      <c r="AM8" s="2537"/>
      <c r="AN8" s="2537"/>
      <c r="AO8" s="2537"/>
      <c r="AP8" s="2537"/>
      <c r="AQ8" s="2537"/>
      <c r="AR8" s="2537"/>
      <c r="AS8" s="2537"/>
      <c r="AT8" s="2537"/>
      <c r="AU8" s="2537"/>
      <c r="AV8" s="2538"/>
      <c r="AW8" s="2523"/>
      <c r="AX8" s="2524"/>
      <c r="AY8" s="2524"/>
      <c r="AZ8" s="2524"/>
      <c r="BA8" s="2524"/>
      <c r="BB8" s="2524"/>
      <c r="BC8" s="2524"/>
      <c r="BD8" s="2524"/>
      <c r="BE8" s="2524"/>
      <c r="BF8" s="2525"/>
      <c r="BG8" s="2578"/>
      <c r="BH8" s="2579"/>
      <c r="BI8" s="2579"/>
      <c r="BJ8" s="2579"/>
      <c r="BK8" s="2579"/>
      <c r="BL8" s="2579"/>
      <c r="BM8" s="2579"/>
      <c r="BN8" s="2579"/>
      <c r="BO8" s="2579"/>
      <c r="BP8" s="2580"/>
    </row>
    <row r="9" spans="1:68" ht="16.5" customHeight="1" thickBot="1">
      <c r="A9" s="2860">
        <v>2015</v>
      </c>
      <c r="B9" s="2860"/>
      <c r="C9" s="2860"/>
      <c r="D9" s="2860"/>
      <c r="E9" s="2860"/>
      <c r="F9" s="2860"/>
      <c r="G9" s="2860"/>
      <c r="H9" s="2860"/>
      <c r="I9" s="2860"/>
      <c r="J9" s="2860"/>
      <c r="K9" s="2860"/>
      <c r="L9" s="2860"/>
      <c r="M9" s="2860"/>
      <c r="N9" s="2860"/>
      <c r="O9" s="2860"/>
      <c r="P9" s="2860"/>
      <c r="Q9" s="2860"/>
      <c r="R9" s="2860"/>
      <c r="S9" s="2860"/>
      <c r="T9" s="2860"/>
      <c r="U9" s="2860"/>
      <c r="V9" s="2860"/>
      <c r="W9" s="2860"/>
      <c r="X9" s="2860"/>
      <c r="Y9" s="2860"/>
      <c r="Z9" s="2860"/>
      <c r="AA9" s="2860"/>
      <c r="AB9" s="2536"/>
      <c r="AC9" s="2536"/>
      <c r="AD9" s="2536"/>
      <c r="AE9" s="2536"/>
      <c r="AF9" s="2536"/>
      <c r="AG9" s="2536"/>
      <c r="AH9" s="2536"/>
      <c r="AI9" s="2536"/>
      <c r="AJ9" s="2536"/>
      <c r="AK9" s="2536"/>
      <c r="AL9" s="2536"/>
      <c r="AM9" s="2537"/>
      <c r="AN9" s="2537"/>
      <c r="AO9" s="2537"/>
      <c r="AP9" s="2537"/>
      <c r="AQ9" s="2537"/>
      <c r="AR9" s="2537"/>
      <c r="AS9" s="2537"/>
      <c r="AT9" s="2537"/>
      <c r="AU9" s="2537"/>
      <c r="AV9" s="2538"/>
      <c r="AW9" s="2526"/>
      <c r="AX9" s="2527"/>
      <c r="AY9" s="2527"/>
      <c r="AZ9" s="2527"/>
      <c r="BA9" s="2527"/>
      <c r="BB9" s="2527"/>
      <c r="BC9" s="2527"/>
      <c r="BD9" s="2527"/>
      <c r="BE9" s="2527"/>
      <c r="BF9" s="2528"/>
      <c r="BG9" s="2581"/>
      <c r="BH9" s="2582"/>
      <c r="BI9" s="2582"/>
      <c r="BJ9" s="2582"/>
      <c r="BK9" s="2582"/>
      <c r="BL9" s="2582"/>
      <c r="BM9" s="2582"/>
      <c r="BN9" s="2582"/>
      <c r="BO9" s="2582"/>
      <c r="BP9" s="2583"/>
    </row>
    <row r="10" spans="1:38" ht="15.75" thickBot="1">
      <c r="A10" s="833"/>
      <c r="B10" s="898"/>
      <c r="C10" s="833"/>
      <c r="D10" s="833"/>
      <c r="E10" s="833"/>
      <c r="F10" s="1385"/>
      <c r="G10" s="833"/>
      <c r="H10" s="833"/>
      <c r="I10" s="1087"/>
      <c r="J10" s="833"/>
      <c r="K10" s="1086"/>
      <c r="L10" s="1086"/>
      <c r="M10" s="833"/>
      <c r="N10" s="833"/>
      <c r="O10" s="833"/>
      <c r="P10" s="833"/>
      <c r="Q10" s="833"/>
      <c r="R10" s="833"/>
      <c r="S10" s="833"/>
      <c r="T10" s="833"/>
      <c r="U10" s="833"/>
      <c r="V10" s="833"/>
      <c r="W10" s="833"/>
      <c r="X10" s="833"/>
      <c r="Y10" s="1386"/>
      <c r="Z10" s="1085"/>
      <c r="AA10" s="833"/>
      <c r="AB10" s="1084"/>
      <c r="AC10" s="1353"/>
      <c r="AD10" s="1572"/>
      <c r="AE10" s="1353"/>
      <c r="AF10" s="1353"/>
      <c r="AG10" s="1353"/>
      <c r="AH10" s="1084"/>
      <c r="AI10" s="1084"/>
      <c r="AJ10" s="1084"/>
      <c r="AK10" s="1452"/>
      <c r="AL10" s="1084"/>
    </row>
    <row r="11" spans="1:68" s="833" customFormat="1" ht="15.75" customHeight="1" thickBot="1">
      <c r="A11" s="2547" t="s">
        <v>7</v>
      </c>
      <c r="B11" s="2547"/>
      <c r="C11" s="2547"/>
      <c r="D11" s="2547"/>
      <c r="E11" s="2543" t="s">
        <v>510</v>
      </c>
      <c r="F11" s="2543"/>
      <c r="G11" s="2543"/>
      <c r="H11" s="2543"/>
      <c r="I11" s="2543"/>
      <c r="J11" s="2543"/>
      <c r="K11" s="2543"/>
      <c r="L11" s="2543"/>
      <c r="M11" s="2543"/>
      <c r="N11" s="2543"/>
      <c r="O11" s="2543"/>
      <c r="P11" s="2543"/>
      <c r="Q11" s="2543"/>
      <c r="R11" s="2543"/>
      <c r="S11" s="2543"/>
      <c r="T11" s="2543"/>
      <c r="U11" s="2543"/>
      <c r="V11" s="2543"/>
      <c r="W11" s="2543"/>
      <c r="X11" s="2543"/>
      <c r="Y11" s="2543"/>
      <c r="Z11" s="2543"/>
      <c r="AA11" s="2543"/>
      <c r="AB11" s="2543" t="s">
        <v>510</v>
      </c>
      <c r="AC11" s="2543"/>
      <c r="AD11" s="2543"/>
      <c r="AE11" s="2543"/>
      <c r="AF11" s="2543"/>
      <c r="AG11" s="2543"/>
      <c r="AH11" s="2543"/>
      <c r="AI11" s="2543"/>
      <c r="AJ11" s="2543"/>
      <c r="AK11" s="2543"/>
      <c r="AL11" s="2543"/>
      <c r="AM11" s="2543" t="s">
        <v>510</v>
      </c>
      <c r="AN11" s="2543"/>
      <c r="AO11" s="2543"/>
      <c r="AP11" s="2543"/>
      <c r="AQ11" s="2543"/>
      <c r="AR11" s="2543"/>
      <c r="AS11" s="2543"/>
      <c r="AT11" s="2543"/>
      <c r="AU11" s="2543"/>
      <c r="AV11" s="2544"/>
      <c r="AW11" s="2529" t="s">
        <v>510</v>
      </c>
      <c r="AX11" s="2530"/>
      <c r="AY11" s="2530"/>
      <c r="AZ11" s="2530"/>
      <c r="BA11" s="2530"/>
      <c r="BB11" s="2530"/>
      <c r="BC11" s="2530"/>
      <c r="BD11" s="2530"/>
      <c r="BE11" s="2530"/>
      <c r="BF11" s="2531"/>
      <c r="BG11" s="2529" t="s">
        <v>510</v>
      </c>
      <c r="BH11" s="2530"/>
      <c r="BI11" s="2530"/>
      <c r="BJ11" s="2530"/>
      <c r="BK11" s="2530"/>
      <c r="BL11" s="2530"/>
      <c r="BM11" s="2530"/>
      <c r="BN11" s="2530"/>
      <c r="BO11" s="2530"/>
      <c r="BP11" s="2531"/>
    </row>
    <row r="12" spans="2:38" s="896" customFormat="1" ht="15.75" thickBot="1">
      <c r="B12" s="1012"/>
      <c r="F12" s="1385"/>
      <c r="I12" s="1010"/>
      <c r="K12" s="1009"/>
      <c r="L12" s="1009"/>
      <c r="Y12" s="1387"/>
      <c r="Z12" s="1083"/>
      <c r="AB12" s="1007"/>
      <c r="AC12" s="1354"/>
      <c r="AD12" s="1573"/>
      <c r="AE12" s="1354"/>
      <c r="AF12" s="1354"/>
      <c r="AG12" s="1354"/>
      <c r="AH12" s="1007"/>
      <c r="AI12" s="1007"/>
      <c r="AJ12" s="1007"/>
      <c r="AK12" s="1453"/>
      <c r="AL12" s="1007"/>
    </row>
    <row r="13" spans="1:68" s="898" customFormat="1" ht="15.75" customHeight="1" thickBot="1">
      <c r="A13" s="2857" t="s">
        <v>9</v>
      </c>
      <c r="B13" s="2857"/>
      <c r="C13" s="2857"/>
      <c r="D13" s="2857"/>
      <c r="E13" s="2551" t="s">
        <v>292</v>
      </c>
      <c r="F13" s="2551"/>
      <c r="G13" s="2551"/>
      <c r="H13" s="2551"/>
      <c r="I13" s="2551"/>
      <c r="J13" s="2551"/>
      <c r="K13" s="2551"/>
      <c r="L13" s="2551"/>
      <c r="M13" s="2551"/>
      <c r="N13" s="2551"/>
      <c r="O13" s="2551"/>
      <c r="P13" s="2551"/>
      <c r="Q13" s="2551"/>
      <c r="R13" s="2551"/>
      <c r="S13" s="2551"/>
      <c r="T13" s="2551"/>
      <c r="U13" s="2551"/>
      <c r="V13" s="2551"/>
      <c r="W13" s="2551"/>
      <c r="X13" s="2551"/>
      <c r="Y13" s="2551"/>
      <c r="Z13" s="2551"/>
      <c r="AA13" s="2551"/>
      <c r="AB13" s="2551" t="s">
        <v>292</v>
      </c>
      <c r="AC13" s="2551"/>
      <c r="AD13" s="2551"/>
      <c r="AE13" s="2551"/>
      <c r="AF13" s="2551"/>
      <c r="AG13" s="2551"/>
      <c r="AH13" s="2551"/>
      <c r="AI13" s="2551"/>
      <c r="AJ13" s="2551"/>
      <c r="AK13" s="2551"/>
      <c r="AL13" s="2551"/>
      <c r="AM13" s="2551" t="s">
        <v>292</v>
      </c>
      <c r="AN13" s="2551"/>
      <c r="AO13" s="2551"/>
      <c r="AP13" s="2551"/>
      <c r="AQ13" s="2551"/>
      <c r="AR13" s="2551"/>
      <c r="AS13" s="2551"/>
      <c r="AT13" s="2551"/>
      <c r="AU13" s="2551"/>
      <c r="AV13" s="2552"/>
      <c r="AW13" s="2532" t="s">
        <v>292</v>
      </c>
      <c r="AX13" s="2533"/>
      <c r="AY13" s="2533"/>
      <c r="AZ13" s="2533"/>
      <c r="BA13" s="2533"/>
      <c r="BB13" s="2533"/>
      <c r="BC13" s="2533"/>
      <c r="BD13" s="2533"/>
      <c r="BE13" s="2533"/>
      <c r="BF13" s="2534"/>
      <c r="BG13" s="2532" t="s">
        <v>292</v>
      </c>
      <c r="BH13" s="2533"/>
      <c r="BI13" s="2533"/>
      <c r="BJ13" s="2533"/>
      <c r="BK13" s="2533"/>
      <c r="BL13" s="2533"/>
      <c r="BM13" s="2533"/>
      <c r="BN13" s="2533"/>
      <c r="BO13" s="2533"/>
      <c r="BP13" s="2534"/>
    </row>
    <row r="14" spans="2:38" s="896" customFormat="1" ht="15.75" thickBot="1">
      <c r="B14" s="1012"/>
      <c r="F14" s="1385"/>
      <c r="I14" s="1010"/>
      <c r="K14" s="1009"/>
      <c r="L14" s="1009"/>
      <c r="Y14" s="1387"/>
      <c r="Z14" s="1083"/>
      <c r="AB14" s="1007"/>
      <c r="AC14" s="1354"/>
      <c r="AD14" s="1573"/>
      <c r="AE14" s="1354"/>
      <c r="AF14" s="1354"/>
      <c r="AG14" s="1354"/>
      <c r="AH14" s="1007"/>
      <c r="AI14" s="1007"/>
      <c r="AJ14" s="1007"/>
      <c r="AK14" s="1453"/>
      <c r="AL14" s="1007"/>
    </row>
    <row r="15" spans="1:68" s="892" customFormat="1" ht="51.75" thickBot="1">
      <c r="A15" s="1388" t="s">
        <v>11</v>
      </c>
      <c r="B15" s="1389" t="s">
        <v>12</v>
      </c>
      <c r="C15" s="1388" t="s">
        <v>13</v>
      </c>
      <c r="D15" s="1390" t="s">
        <v>14</v>
      </c>
      <c r="E15" s="1391" t="s">
        <v>15</v>
      </c>
      <c r="F15" s="1392" t="s">
        <v>16</v>
      </c>
      <c r="G15" s="1393" t="s">
        <v>17</v>
      </c>
      <c r="H15" s="1393" t="s">
        <v>18</v>
      </c>
      <c r="I15" s="1394" t="s">
        <v>19</v>
      </c>
      <c r="J15" s="1393" t="s">
        <v>20</v>
      </c>
      <c r="K15" s="1393" t="s">
        <v>1616</v>
      </c>
      <c r="L15" s="1393" t="s">
        <v>22</v>
      </c>
      <c r="M15" s="1395" t="s">
        <v>23</v>
      </c>
      <c r="N15" s="1395" t="s">
        <v>24</v>
      </c>
      <c r="O15" s="1395" t="s">
        <v>25</v>
      </c>
      <c r="P15" s="1395" t="s">
        <v>26</v>
      </c>
      <c r="Q15" s="1395" t="s">
        <v>27</v>
      </c>
      <c r="R15" s="1395" t="s">
        <v>28</v>
      </c>
      <c r="S15" s="1395" t="s">
        <v>29</v>
      </c>
      <c r="T15" s="1395" t="s">
        <v>30</v>
      </c>
      <c r="U15" s="1395" t="s">
        <v>31</v>
      </c>
      <c r="V15" s="1395" t="s">
        <v>32</v>
      </c>
      <c r="W15" s="1395" t="s">
        <v>33</v>
      </c>
      <c r="X15" s="1395" t="s">
        <v>34</v>
      </c>
      <c r="Y15" s="1396" t="s">
        <v>35</v>
      </c>
      <c r="Z15" s="1393" t="s">
        <v>36</v>
      </c>
      <c r="AA15" s="1397" t="s">
        <v>37</v>
      </c>
      <c r="AB15" s="895" t="s">
        <v>38</v>
      </c>
      <c r="AC15" s="1613" t="s">
        <v>1781</v>
      </c>
      <c r="AD15" s="1574" t="s">
        <v>39</v>
      </c>
      <c r="AE15" s="1614" t="s">
        <v>1821</v>
      </c>
      <c r="AF15" s="1614" t="s">
        <v>1822</v>
      </c>
      <c r="AG15" s="1613" t="s">
        <v>1783</v>
      </c>
      <c r="AH15" s="895" t="s">
        <v>40</v>
      </c>
      <c r="AI15" s="895" t="s">
        <v>41</v>
      </c>
      <c r="AJ15" s="895" t="s">
        <v>42</v>
      </c>
      <c r="AK15" s="1454" t="s">
        <v>43</v>
      </c>
      <c r="AL15" s="895" t="s">
        <v>44</v>
      </c>
      <c r="AM15" s="33" t="s">
        <v>45</v>
      </c>
      <c r="AN15" s="33" t="s">
        <v>1781</v>
      </c>
      <c r="AO15" s="33" t="s">
        <v>46</v>
      </c>
      <c r="AP15" s="33" t="s">
        <v>2193</v>
      </c>
      <c r="AQ15" s="33" t="s">
        <v>1822</v>
      </c>
      <c r="AR15" s="33" t="s">
        <v>2194</v>
      </c>
      <c r="AS15" s="33" t="s">
        <v>41</v>
      </c>
      <c r="AT15" s="33" t="s">
        <v>42</v>
      </c>
      <c r="AU15" s="33" t="s">
        <v>43</v>
      </c>
      <c r="AV15" s="33" t="s">
        <v>44</v>
      </c>
      <c r="AW15" s="1983" t="s">
        <v>47</v>
      </c>
      <c r="AX15" s="1983" t="s">
        <v>1781</v>
      </c>
      <c r="AY15" s="1983" t="s">
        <v>48</v>
      </c>
      <c r="AZ15" s="1983" t="s">
        <v>2453</v>
      </c>
      <c r="BA15" s="1983" t="s">
        <v>1822</v>
      </c>
      <c r="BB15" s="1983" t="s">
        <v>2489</v>
      </c>
      <c r="BC15" s="1983" t="s">
        <v>41</v>
      </c>
      <c r="BD15" s="1983" t="s">
        <v>42</v>
      </c>
      <c r="BE15" s="1983" t="s">
        <v>43</v>
      </c>
      <c r="BF15" s="1983" t="s">
        <v>44</v>
      </c>
      <c r="BG15" s="2079" t="s">
        <v>49</v>
      </c>
      <c r="BH15" s="2079" t="s">
        <v>1781</v>
      </c>
      <c r="BI15" s="2079" t="s">
        <v>50</v>
      </c>
      <c r="BJ15" s="2079" t="s">
        <v>2946</v>
      </c>
      <c r="BK15" s="2079" t="s">
        <v>1822</v>
      </c>
      <c r="BL15" s="2079" t="s">
        <v>2947</v>
      </c>
      <c r="BM15" s="2079" t="s">
        <v>41</v>
      </c>
      <c r="BN15" s="2079" t="s">
        <v>42</v>
      </c>
      <c r="BO15" s="2079" t="s">
        <v>43</v>
      </c>
      <c r="BP15" s="2479" t="s">
        <v>44</v>
      </c>
    </row>
    <row r="16" spans="1:68" s="796" customFormat="1" ht="51.75" thickBot="1">
      <c r="A16" s="2545"/>
      <c r="B16" s="2545" t="s">
        <v>511</v>
      </c>
      <c r="C16" s="2753" t="s">
        <v>512</v>
      </c>
      <c r="D16" s="1380" t="s">
        <v>515</v>
      </c>
      <c r="E16" s="889" t="s">
        <v>516</v>
      </c>
      <c r="F16" s="889" t="s">
        <v>517</v>
      </c>
      <c r="G16" s="889" t="s">
        <v>518</v>
      </c>
      <c r="H16" s="889" t="s">
        <v>514</v>
      </c>
      <c r="I16" s="1398">
        <v>0.125</v>
      </c>
      <c r="J16" s="889" t="s">
        <v>519</v>
      </c>
      <c r="K16" s="910">
        <v>42005</v>
      </c>
      <c r="L16" s="910">
        <v>42369</v>
      </c>
      <c r="M16" s="1399"/>
      <c r="N16" s="1399"/>
      <c r="O16" s="1399"/>
      <c r="P16" s="1399"/>
      <c r="Q16" s="1399"/>
      <c r="R16" s="1400"/>
      <c r="S16" s="1400"/>
      <c r="T16" s="1399"/>
      <c r="U16" s="1400"/>
      <c r="V16" s="1400"/>
      <c r="W16" s="1400"/>
      <c r="X16" s="1400"/>
      <c r="Y16" s="1401" t="s">
        <v>100</v>
      </c>
      <c r="Z16" s="868">
        <v>0</v>
      </c>
      <c r="AA16" s="850" t="s">
        <v>1090</v>
      </c>
      <c r="AB16" s="1440">
        <f>M16+N16</f>
        <v>0</v>
      </c>
      <c r="AC16" s="1632">
        <f>IF(AB16=0,0%,100%)</f>
        <v>0</v>
      </c>
      <c r="AD16" s="1575">
        <v>0</v>
      </c>
      <c r="AE16" s="1632" t="s">
        <v>1090</v>
      </c>
      <c r="AF16" s="1632" t="s">
        <v>1090</v>
      </c>
      <c r="AG16" s="1632" t="str">
        <f>AF16</f>
        <v>-</v>
      </c>
      <c r="AH16" s="1403"/>
      <c r="AI16" s="1402"/>
      <c r="AJ16" s="1403"/>
      <c r="AK16" s="1451" t="s">
        <v>2005</v>
      </c>
      <c r="AL16" s="1402"/>
      <c r="AM16" s="1882">
        <v>0</v>
      </c>
      <c r="AN16" s="1883">
        <f aca="true" t="shared" si="0" ref="AN16:AN32">IF(AM16=0,0%,100%)</f>
        <v>0</v>
      </c>
      <c r="AO16" s="1882" t="s">
        <v>1090</v>
      </c>
      <c r="AP16" s="1883" t="s">
        <v>1090</v>
      </c>
      <c r="AQ16" s="1882" t="s">
        <v>1090</v>
      </c>
      <c r="AR16" s="1883" t="str">
        <f aca="true" t="shared" si="1" ref="AR16:AR32">IF(AN16&gt;0,AP16,"-")</f>
        <v>-</v>
      </c>
      <c r="AS16" s="1884">
        <v>0</v>
      </c>
      <c r="AT16" s="1883">
        <v>0</v>
      </c>
      <c r="AU16" s="1882" t="s">
        <v>2431</v>
      </c>
      <c r="AV16" s="1882"/>
      <c r="AW16" s="2196">
        <f>SUM(M16:R16)</f>
        <v>0</v>
      </c>
      <c r="AX16" s="2218">
        <f>IF(AW16=0,0%,100%)</f>
        <v>0</v>
      </c>
      <c r="AY16" s="2196" t="s">
        <v>1090</v>
      </c>
      <c r="AZ16" s="2218" t="s">
        <v>1090</v>
      </c>
      <c r="BA16" s="2218" t="s">
        <v>1090</v>
      </c>
      <c r="BB16" s="2218" t="s">
        <v>1090</v>
      </c>
      <c r="BC16" s="2308">
        <v>0</v>
      </c>
      <c r="BD16" s="795" t="s">
        <v>1090</v>
      </c>
      <c r="BE16" s="795"/>
      <c r="BF16" s="795"/>
      <c r="BG16" s="2392">
        <f>SUM(M16:T16)</f>
        <v>0</v>
      </c>
      <c r="BH16" s="2391">
        <f>IF(BG16=0,0%,100%)</f>
        <v>0</v>
      </c>
      <c r="BI16" s="2392" t="s">
        <v>1090</v>
      </c>
      <c r="BJ16" s="2391" t="s">
        <v>1090</v>
      </c>
      <c r="BK16" s="2391"/>
      <c r="BL16" s="2391" t="s">
        <v>1090</v>
      </c>
      <c r="BM16" s="2394"/>
      <c r="BN16" s="2393"/>
      <c r="BO16" s="2393"/>
      <c r="BP16" s="2393"/>
    </row>
    <row r="17" spans="1:68" s="796" customFormat="1" ht="39" thickBot="1">
      <c r="A17" s="2545"/>
      <c r="B17" s="2557"/>
      <c r="C17" s="2757"/>
      <c r="D17" s="1380" t="s">
        <v>520</v>
      </c>
      <c r="E17" s="889" t="s">
        <v>521</v>
      </c>
      <c r="F17" s="889" t="s">
        <v>517</v>
      </c>
      <c r="G17" s="889" t="s">
        <v>522</v>
      </c>
      <c r="H17" s="889" t="s">
        <v>514</v>
      </c>
      <c r="I17" s="1398">
        <v>0.125</v>
      </c>
      <c r="J17" s="889" t="s">
        <v>523</v>
      </c>
      <c r="K17" s="1382">
        <v>42005</v>
      </c>
      <c r="L17" s="1382">
        <v>42369</v>
      </c>
      <c r="M17" s="1404"/>
      <c r="N17" s="1404"/>
      <c r="O17" s="1404"/>
      <c r="P17" s="1404"/>
      <c r="Q17" s="1404"/>
      <c r="R17" s="1405"/>
      <c r="S17" s="1405"/>
      <c r="T17" s="1404"/>
      <c r="U17" s="1405"/>
      <c r="V17" s="1405"/>
      <c r="W17" s="1405"/>
      <c r="X17" s="1405"/>
      <c r="Y17" s="1401" t="s">
        <v>100</v>
      </c>
      <c r="Z17" s="868">
        <v>0</v>
      </c>
      <c r="AA17" s="850" t="s">
        <v>1090</v>
      </c>
      <c r="AB17" s="1440">
        <f aca="true" t="shared" si="2" ref="AB17:AB23">M17+N17</f>
        <v>0</v>
      </c>
      <c r="AC17" s="1632">
        <f aca="true" t="shared" si="3" ref="AC17:AC32">IF(AB17=0,0%,100%)</f>
        <v>0</v>
      </c>
      <c r="AD17" s="1575">
        <v>0</v>
      </c>
      <c r="AE17" s="1632" t="s">
        <v>1090</v>
      </c>
      <c r="AF17" s="1632" t="s">
        <v>1090</v>
      </c>
      <c r="AG17" s="1632" t="str">
        <f aca="true" t="shared" si="4" ref="AG17:AG23">AF17</f>
        <v>-</v>
      </c>
      <c r="AH17" s="1403"/>
      <c r="AI17" s="1402"/>
      <c r="AJ17" s="1403"/>
      <c r="AK17" s="1440" t="s">
        <v>2006</v>
      </c>
      <c r="AL17" s="1402"/>
      <c r="AM17" s="1882">
        <v>0</v>
      </c>
      <c r="AN17" s="1883">
        <f t="shared" si="0"/>
        <v>0</v>
      </c>
      <c r="AO17" s="1882" t="s">
        <v>1090</v>
      </c>
      <c r="AP17" s="1883" t="s">
        <v>1090</v>
      </c>
      <c r="AQ17" s="1882" t="s">
        <v>1090</v>
      </c>
      <c r="AR17" s="1883" t="str">
        <f t="shared" si="1"/>
        <v>-</v>
      </c>
      <c r="AS17" s="1884">
        <v>0</v>
      </c>
      <c r="AT17" s="1883">
        <v>0</v>
      </c>
      <c r="AU17" s="1882" t="s">
        <v>2432</v>
      </c>
      <c r="AV17" s="1882"/>
      <c r="AW17" s="2196">
        <f aca="true" t="shared" si="5" ref="AW17:AW23">SUM(M17:R17)</f>
        <v>0</v>
      </c>
      <c r="AX17" s="2218">
        <f aca="true" t="shared" si="6" ref="AX17:AX32">IF(AW17=0,0%,100%)</f>
        <v>0</v>
      </c>
      <c r="AY17" s="2196" t="s">
        <v>1090</v>
      </c>
      <c r="AZ17" s="2218" t="s">
        <v>1090</v>
      </c>
      <c r="BA17" s="2218" t="s">
        <v>1090</v>
      </c>
      <c r="BB17" s="2218" t="s">
        <v>1090</v>
      </c>
      <c r="BC17" s="2308">
        <v>0</v>
      </c>
      <c r="BD17" s="795" t="s">
        <v>1090</v>
      </c>
      <c r="BE17" s="795"/>
      <c r="BF17" s="795"/>
      <c r="BG17" s="2392">
        <f aca="true" t="shared" si="7" ref="BG17:BG23">SUM(M17:T17)</f>
        <v>0</v>
      </c>
      <c r="BH17" s="2391">
        <f aca="true" t="shared" si="8" ref="BH17:BH32">IF(BG17=0,0%,100%)</f>
        <v>0</v>
      </c>
      <c r="BI17" s="2392" t="s">
        <v>1090</v>
      </c>
      <c r="BJ17" s="2391" t="s">
        <v>1090</v>
      </c>
      <c r="BK17" s="2391"/>
      <c r="BL17" s="2391" t="s">
        <v>1090</v>
      </c>
      <c r="BM17" s="2394"/>
      <c r="BN17" s="2393"/>
      <c r="BO17" s="2393"/>
      <c r="BP17" s="2393"/>
    </row>
    <row r="18" spans="1:68" s="796" customFormat="1" ht="39" thickBot="1">
      <c r="A18" s="2545"/>
      <c r="B18" s="2557"/>
      <c r="C18" s="2757"/>
      <c r="D18" s="1380" t="s">
        <v>524</v>
      </c>
      <c r="E18" s="889" t="s">
        <v>525</v>
      </c>
      <c r="F18" s="889" t="s">
        <v>517</v>
      </c>
      <c r="G18" s="889" t="s">
        <v>526</v>
      </c>
      <c r="H18" s="889" t="s">
        <v>514</v>
      </c>
      <c r="I18" s="1398">
        <v>0.125</v>
      </c>
      <c r="J18" s="889" t="s">
        <v>527</v>
      </c>
      <c r="K18" s="1382">
        <v>42005</v>
      </c>
      <c r="L18" s="1382">
        <v>42369</v>
      </c>
      <c r="M18" s="1404"/>
      <c r="N18" s="1404"/>
      <c r="O18" s="1404"/>
      <c r="P18" s="1404"/>
      <c r="Q18" s="1404"/>
      <c r="R18" s="1405"/>
      <c r="S18" s="1405"/>
      <c r="T18" s="1404"/>
      <c r="U18" s="1405"/>
      <c r="V18" s="1405"/>
      <c r="W18" s="1405"/>
      <c r="X18" s="1405"/>
      <c r="Y18" s="1401" t="s">
        <v>100</v>
      </c>
      <c r="Z18" s="868">
        <v>0</v>
      </c>
      <c r="AA18" s="850" t="s">
        <v>1090</v>
      </c>
      <c r="AB18" s="1440">
        <f t="shared" si="2"/>
        <v>0</v>
      </c>
      <c r="AC18" s="1632">
        <f t="shared" si="3"/>
        <v>0</v>
      </c>
      <c r="AD18" s="1575">
        <v>0</v>
      </c>
      <c r="AE18" s="1632" t="s">
        <v>1090</v>
      </c>
      <c r="AF18" s="1632" t="s">
        <v>1090</v>
      </c>
      <c r="AG18" s="1632" t="str">
        <f t="shared" si="4"/>
        <v>-</v>
      </c>
      <c r="AH18" s="1403"/>
      <c r="AI18" s="1402"/>
      <c r="AJ18" s="1403"/>
      <c r="AK18" s="1440" t="s">
        <v>2007</v>
      </c>
      <c r="AL18" s="1402"/>
      <c r="AM18" s="1882">
        <v>0</v>
      </c>
      <c r="AN18" s="1883">
        <f t="shared" si="0"/>
        <v>0</v>
      </c>
      <c r="AO18" s="1882" t="s">
        <v>1090</v>
      </c>
      <c r="AP18" s="1883" t="s">
        <v>1090</v>
      </c>
      <c r="AQ18" s="1882" t="s">
        <v>1090</v>
      </c>
      <c r="AR18" s="1883" t="str">
        <f t="shared" si="1"/>
        <v>-</v>
      </c>
      <c r="AS18" s="1884">
        <v>0</v>
      </c>
      <c r="AT18" s="1883">
        <v>0</v>
      </c>
      <c r="AU18" s="1882" t="s">
        <v>2433</v>
      </c>
      <c r="AV18" s="1882"/>
      <c r="AW18" s="2196">
        <f t="shared" si="5"/>
        <v>0</v>
      </c>
      <c r="AX18" s="2218">
        <f t="shared" si="6"/>
        <v>0</v>
      </c>
      <c r="AY18" s="2196" t="s">
        <v>1090</v>
      </c>
      <c r="AZ18" s="2218" t="s">
        <v>1090</v>
      </c>
      <c r="BA18" s="2218" t="s">
        <v>1090</v>
      </c>
      <c r="BB18" s="2218" t="s">
        <v>1090</v>
      </c>
      <c r="BC18" s="2308">
        <v>0</v>
      </c>
      <c r="BD18" s="795" t="s">
        <v>1090</v>
      </c>
      <c r="BE18" s="795"/>
      <c r="BF18" s="795"/>
      <c r="BG18" s="2392">
        <f t="shared" si="7"/>
        <v>0</v>
      </c>
      <c r="BH18" s="2391">
        <f t="shared" si="8"/>
        <v>0</v>
      </c>
      <c r="BI18" s="2392" t="s">
        <v>1090</v>
      </c>
      <c r="BJ18" s="2391" t="s">
        <v>1090</v>
      </c>
      <c r="BK18" s="2391"/>
      <c r="BL18" s="2391" t="s">
        <v>1090</v>
      </c>
      <c r="BM18" s="2394"/>
      <c r="BN18" s="2393"/>
      <c r="BO18" s="2393"/>
      <c r="BP18" s="2393"/>
    </row>
    <row r="19" spans="1:68" s="796" customFormat="1" ht="39" thickBot="1">
      <c r="A19" s="2545"/>
      <c r="B19" s="2557"/>
      <c r="C19" s="2757"/>
      <c r="D19" s="1380" t="s">
        <v>528</v>
      </c>
      <c r="E19" s="889" t="s">
        <v>529</v>
      </c>
      <c r="F19" s="889" t="s">
        <v>517</v>
      </c>
      <c r="G19" s="889" t="s">
        <v>530</v>
      </c>
      <c r="H19" s="889" t="s">
        <v>514</v>
      </c>
      <c r="I19" s="1398">
        <v>0.125</v>
      </c>
      <c r="J19" s="889" t="s">
        <v>531</v>
      </c>
      <c r="K19" s="1382">
        <v>42005</v>
      </c>
      <c r="L19" s="1382">
        <v>42369</v>
      </c>
      <c r="M19" s="1404"/>
      <c r="N19" s="1404"/>
      <c r="O19" s="1404"/>
      <c r="P19" s="1404"/>
      <c r="Q19" s="1404"/>
      <c r="R19" s="1405"/>
      <c r="S19" s="1405"/>
      <c r="T19" s="1404"/>
      <c r="U19" s="1405"/>
      <c r="V19" s="1405"/>
      <c r="W19" s="1405"/>
      <c r="X19" s="1405"/>
      <c r="Y19" s="1401" t="s">
        <v>100</v>
      </c>
      <c r="Z19" s="868">
        <v>0</v>
      </c>
      <c r="AA19" s="850" t="s">
        <v>1090</v>
      </c>
      <c r="AB19" s="1440">
        <f t="shared" si="2"/>
        <v>0</v>
      </c>
      <c r="AC19" s="1632">
        <f t="shared" si="3"/>
        <v>0</v>
      </c>
      <c r="AD19" s="1575">
        <v>0</v>
      </c>
      <c r="AE19" s="1632" t="s">
        <v>1090</v>
      </c>
      <c r="AF19" s="1632" t="s">
        <v>1090</v>
      </c>
      <c r="AG19" s="1632" t="str">
        <f t="shared" si="4"/>
        <v>-</v>
      </c>
      <c r="AH19" s="1403"/>
      <c r="AI19" s="1402"/>
      <c r="AJ19" s="1403"/>
      <c r="AK19" s="1440" t="s">
        <v>2008</v>
      </c>
      <c r="AL19" s="1402"/>
      <c r="AM19" s="1882">
        <v>0</v>
      </c>
      <c r="AN19" s="1883">
        <f t="shared" si="0"/>
        <v>0</v>
      </c>
      <c r="AO19" s="1882" t="s">
        <v>1090</v>
      </c>
      <c r="AP19" s="1883" t="s">
        <v>1090</v>
      </c>
      <c r="AQ19" s="1882" t="s">
        <v>1090</v>
      </c>
      <c r="AR19" s="1883" t="str">
        <f t="shared" si="1"/>
        <v>-</v>
      </c>
      <c r="AS19" s="1884">
        <v>0</v>
      </c>
      <c r="AT19" s="1883">
        <v>0</v>
      </c>
      <c r="AU19" s="1882" t="s">
        <v>2434</v>
      </c>
      <c r="AV19" s="1882"/>
      <c r="AW19" s="2196">
        <f t="shared" si="5"/>
        <v>0</v>
      </c>
      <c r="AX19" s="2218">
        <f t="shared" si="6"/>
        <v>0</v>
      </c>
      <c r="AY19" s="2196" t="s">
        <v>1090</v>
      </c>
      <c r="AZ19" s="2218" t="s">
        <v>1090</v>
      </c>
      <c r="BA19" s="2218" t="s">
        <v>1090</v>
      </c>
      <c r="BB19" s="2218" t="s">
        <v>1090</v>
      </c>
      <c r="BC19" s="2308">
        <v>0</v>
      </c>
      <c r="BD19" s="795" t="s">
        <v>1090</v>
      </c>
      <c r="BE19" s="795"/>
      <c r="BF19" s="795"/>
      <c r="BG19" s="2392">
        <f t="shared" si="7"/>
        <v>0</v>
      </c>
      <c r="BH19" s="2391">
        <f t="shared" si="8"/>
        <v>0</v>
      </c>
      <c r="BI19" s="2392" t="s">
        <v>1090</v>
      </c>
      <c r="BJ19" s="2391" t="s">
        <v>1090</v>
      </c>
      <c r="BK19" s="2391"/>
      <c r="BL19" s="2391" t="s">
        <v>1090</v>
      </c>
      <c r="BM19" s="2394"/>
      <c r="BN19" s="2393"/>
      <c r="BO19" s="2393"/>
      <c r="BP19" s="2393"/>
    </row>
    <row r="20" spans="1:68" s="796" customFormat="1" ht="39" thickBot="1">
      <c r="A20" s="2545"/>
      <c r="B20" s="2557"/>
      <c r="C20" s="2757"/>
      <c r="D20" s="1380" t="s">
        <v>532</v>
      </c>
      <c r="E20" s="889" t="s">
        <v>533</v>
      </c>
      <c r="F20" s="889" t="s">
        <v>517</v>
      </c>
      <c r="G20" s="889" t="s">
        <v>534</v>
      </c>
      <c r="H20" s="889" t="s">
        <v>514</v>
      </c>
      <c r="I20" s="1398">
        <v>0.125</v>
      </c>
      <c r="J20" s="889" t="s">
        <v>523</v>
      </c>
      <c r="K20" s="1382">
        <v>42005</v>
      </c>
      <c r="L20" s="1382">
        <v>42369</v>
      </c>
      <c r="M20" s="1404"/>
      <c r="N20" s="1404"/>
      <c r="O20" s="1404"/>
      <c r="P20" s="1404"/>
      <c r="Q20" s="1404"/>
      <c r="R20" s="1405"/>
      <c r="S20" s="1405"/>
      <c r="T20" s="1404"/>
      <c r="U20" s="1405"/>
      <c r="V20" s="1405"/>
      <c r="W20" s="1405"/>
      <c r="X20" s="1405"/>
      <c r="Y20" s="1401" t="s">
        <v>100</v>
      </c>
      <c r="Z20" s="868">
        <v>0</v>
      </c>
      <c r="AA20" s="850" t="s">
        <v>1090</v>
      </c>
      <c r="AB20" s="1440">
        <f t="shared" si="2"/>
        <v>0</v>
      </c>
      <c r="AC20" s="1632">
        <f t="shared" si="3"/>
        <v>0</v>
      </c>
      <c r="AD20" s="1575">
        <v>0</v>
      </c>
      <c r="AE20" s="1632" t="s">
        <v>1090</v>
      </c>
      <c r="AF20" s="1632" t="s">
        <v>1090</v>
      </c>
      <c r="AG20" s="1632" t="str">
        <f t="shared" si="4"/>
        <v>-</v>
      </c>
      <c r="AH20" s="1403"/>
      <c r="AI20" s="1402"/>
      <c r="AJ20" s="1403"/>
      <c r="AK20" s="1440"/>
      <c r="AL20" s="1402"/>
      <c r="AM20" s="1882">
        <v>0</v>
      </c>
      <c r="AN20" s="1883">
        <f t="shared" si="0"/>
        <v>0</v>
      </c>
      <c r="AO20" s="1882" t="s">
        <v>1090</v>
      </c>
      <c r="AP20" s="1883" t="s">
        <v>1090</v>
      </c>
      <c r="AQ20" s="1882" t="s">
        <v>1090</v>
      </c>
      <c r="AR20" s="1883" t="str">
        <f t="shared" si="1"/>
        <v>-</v>
      </c>
      <c r="AS20" s="1884">
        <v>0</v>
      </c>
      <c r="AT20" s="1883">
        <v>0</v>
      </c>
      <c r="AU20" s="1882" t="s">
        <v>2435</v>
      </c>
      <c r="AV20" s="1882"/>
      <c r="AW20" s="2196">
        <f t="shared" si="5"/>
        <v>0</v>
      </c>
      <c r="AX20" s="2218">
        <f t="shared" si="6"/>
        <v>0</v>
      </c>
      <c r="AY20" s="2196" t="s">
        <v>1090</v>
      </c>
      <c r="AZ20" s="2218" t="s">
        <v>1090</v>
      </c>
      <c r="BA20" s="2218" t="s">
        <v>1090</v>
      </c>
      <c r="BB20" s="2218" t="s">
        <v>1090</v>
      </c>
      <c r="BC20" s="2308">
        <v>0</v>
      </c>
      <c r="BD20" s="795" t="s">
        <v>1090</v>
      </c>
      <c r="BE20" s="795"/>
      <c r="BF20" s="795"/>
      <c r="BG20" s="2392">
        <f t="shared" si="7"/>
        <v>0</v>
      </c>
      <c r="BH20" s="2391">
        <f t="shared" si="8"/>
        <v>0</v>
      </c>
      <c r="BI20" s="2392" t="s">
        <v>1090</v>
      </c>
      <c r="BJ20" s="2391" t="s">
        <v>1090</v>
      </c>
      <c r="BK20" s="2391"/>
      <c r="BL20" s="2391" t="s">
        <v>1090</v>
      </c>
      <c r="BM20" s="2394"/>
      <c r="BN20" s="2393"/>
      <c r="BO20" s="2393"/>
      <c r="BP20" s="2393"/>
    </row>
    <row r="21" spans="1:68" s="796" customFormat="1" ht="51.75" thickBot="1">
      <c r="A21" s="2545"/>
      <c r="B21" s="2557"/>
      <c r="C21" s="2757"/>
      <c r="D21" s="1380" t="s">
        <v>535</v>
      </c>
      <c r="E21" s="889" t="s">
        <v>536</v>
      </c>
      <c r="F21" s="889" t="s">
        <v>517</v>
      </c>
      <c r="G21" s="889" t="s">
        <v>537</v>
      </c>
      <c r="H21" s="889" t="s">
        <v>514</v>
      </c>
      <c r="I21" s="1398">
        <v>0.125</v>
      </c>
      <c r="J21" s="889" t="s">
        <v>531</v>
      </c>
      <c r="K21" s="1382">
        <v>42005</v>
      </c>
      <c r="L21" s="1382">
        <v>42369</v>
      </c>
      <c r="M21" s="1404"/>
      <c r="N21" s="1404"/>
      <c r="O21" s="1404"/>
      <c r="P21" s="1404"/>
      <c r="Q21" s="1404"/>
      <c r="R21" s="1405"/>
      <c r="S21" s="1405"/>
      <c r="T21" s="1404"/>
      <c r="U21" s="1405"/>
      <c r="V21" s="1405"/>
      <c r="W21" s="1405"/>
      <c r="X21" s="1405"/>
      <c r="Y21" s="1401" t="s">
        <v>100</v>
      </c>
      <c r="Z21" s="868">
        <v>0</v>
      </c>
      <c r="AA21" s="850" t="s">
        <v>1090</v>
      </c>
      <c r="AB21" s="1440">
        <f t="shared" si="2"/>
        <v>0</v>
      </c>
      <c r="AC21" s="1632">
        <f t="shared" si="3"/>
        <v>0</v>
      </c>
      <c r="AD21" s="1575">
        <v>0</v>
      </c>
      <c r="AE21" s="1632" t="s">
        <v>1090</v>
      </c>
      <c r="AF21" s="1632" t="s">
        <v>1090</v>
      </c>
      <c r="AG21" s="1632" t="str">
        <f t="shared" si="4"/>
        <v>-</v>
      </c>
      <c r="AH21" s="1403"/>
      <c r="AI21" s="1402"/>
      <c r="AJ21" s="1403"/>
      <c r="AK21" s="1440"/>
      <c r="AL21" s="1402"/>
      <c r="AM21" s="1882">
        <v>0</v>
      </c>
      <c r="AN21" s="1883">
        <f t="shared" si="0"/>
        <v>0</v>
      </c>
      <c r="AO21" s="1882" t="s">
        <v>1090</v>
      </c>
      <c r="AP21" s="1883" t="s">
        <v>1090</v>
      </c>
      <c r="AQ21" s="1882" t="s">
        <v>1090</v>
      </c>
      <c r="AR21" s="1883" t="str">
        <f t="shared" si="1"/>
        <v>-</v>
      </c>
      <c r="AS21" s="1884">
        <v>0</v>
      </c>
      <c r="AT21" s="1883">
        <v>0</v>
      </c>
      <c r="AU21" s="1882" t="s">
        <v>2436</v>
      </c>
      <c r="AV21" s="1882"/>
      <c r="AW21" s="2196">
        <f t="shared" si="5"/>
        <v>0</v>
      </c>
      <c r="AX21" s="2218">
        <f t="shared" si="6"/>
        <v>0</v>
      </c>
      <c r="AY21" s="2196" t="s">
        <v>1090</v>
      </c>
      <c r="AZ21" s="2218" t="s">
        <v>1090</v>
      </c>
      <c r="BA21" s="2218" t="s">
        <v>1090</v>
      </c>
      <c r="BB21" s="2218" t="s">
        <v>1090</v>
      </c>
      <c r="BC21" s="2308">
        <v>0</v>
      </c>
      <c r="BD21" s="795" t="s">
        <v>1090</v>
      </c>
      <c r="BE21" s="795"/>
      <c r="BF21" s="795"/>
      <c r="BG21" s="2392">
        <f t="shared" si="7"/>
        <v>0</v>
      </c>
      <c r="BH21" s="2391">
        <f t="shared" si="8"/>
        <v>0</v>
      </c>
      <c r="BI21" s="2392" t="s">
        <v>1090</v>
      </c>
      <c r="BJ21" s="2391" t="s">
        <v>1090</v>
      </c>
      <c r="BK21" s="2391"/>
      <c r="BL21" s="2391" t="s">
        <v>1090</v>
      </c>
      <c r="BM21" s="2394"/>
      <c r="BN21" s="2393"/>
      <c r="BO21" s="2393"/>
      <c r="BP21" s="2393"/>
    </row>
    <row r="22" spans="1:68" s="796" customFormat="1" ht="51.75" thickBot="1">
      <c r="A22" s="2545"/>
      <c r="B22" s="2557"/>
      <c r="C22" s="2762"/>
      <c r="D22" s="1380" t="s">
        <v>538</v>
      </c>
      <c r="E22" s="889" t="s">
        <v>539</v>
      </c>
      <c r="F22" s="889" t="s">
        <v>517</v>
      </c>
      <c r="G22" s="889" t="s">
        <v>540</v>
      </c>
      <c r="H22" s="889" t="s">
        <v>514</v>
      </c>
      <c r="I22" s="1398">
        <v>0.125</v>
      </c>
      <c r="J22" s="889" t="s">
        <v>531</v>
      </c>
      <c r="K22" s="1382">
        <v>42005</v>
      </c>
      <c r="L22" s="1382">
        <v>42369</v>
      </c>
      <c r="M22" s="1404"/>
      <c r="N22" s="1404"/>
      <c r="O22" s="1404"/>
      <c r="P22" s="1404"/>
      <c r="Q22" s="1404"/>
      <c r="R22" s="1405"/>
      <c r="S22" s="1405"/>
      <c r="T22" s="1404"/>
      <c r="U22" s="1405"/>
      <c r="V22" s="1405"/>
      <c r="W22" s="1405"/>
      <c r="X22" s="1405"/>
      <c r="Y22" s="1401" t="s">
        <v>100</v>
      </c>
      <c r="Z22" s="868">
        <v>0</v>
      </c>
      <c r="AA22" s="850" t="s">
        <v>1090</v>
      </c>
      <c r="AB22" s="1440">
        <f t="shared" si="2"/>
        <v>0</v>
      </c>
      <c r="AC22" s="1632">
        <f t="shared" si="3"/>
        <v>0</v>
      </c>
      <c r="AD22" s="1575">
        <v>0</v>
      </c>
      <c r="AE22" s="1632" t="s">
        <v>1090</v>
      </c>
      <c r="AF22" s="1632" t="s">
        <v>1090</v>
      </c>
      <c r="AG22" s="1632" t="str">
        <f t="shared" si="4"/>
        <v>-</v>
      </c>
      <c r="AH22" s="1403"/>
      <c r="AI22" s="1402"/>
      <c r="AJ22" s="1403"/>
      <c r="AK22" s="1440"/>
      <c r="AL22" s="1402"/>
      <c r="AM22" s="1882">
        <v>0</v>
      </c>
      <c r="AN22" s="1883">
        <f t="shared" si="0"/>
        <v>0</v>
      </c>
      <c r="AO22" s="1882" t="s">
        <v>1090</v>
      </c>
      <c r="AP22" s="1883" t="s">
        <v>1090</v>
      </c>
      <c r="AQ22" s="1882" t="s">
        <v>1090</v>
      </c>
      <c r="AR22" s="1883" t="str">
        <f t="shared" si="1"/>
        <v>-</v>
      </c>
      <c r="AS22" s="1884">
        <v>0</v>
      </c>
      <c r="AT22" s="1883">
        <v>0</v>
      </c>
      <c r="AU22" s="1882" t="s">
        <v>2437</v>
      </c>
      <c r="AV22" s="1882"/>
      <c r="AW22" s="2196">
        <f t="shared" si="5"/>
        <v>0</v>
      </c>
      <c r="AX22" s="2218">
        <f t="shared" si="6"/>
        <v>0</v>
      </c>
      <c r="AY22" s="2196" t="s">
        <v>1090</v>
      </c>
      <c r="AZ22" s="2218" t="s">
        <v>1090</v>
      </c>
      <c r="BA22" s="2218" t="s">
        <v>1090</v>
      </c>
      <c r="BB22" s="2218" t="s">
        <v>1090</v>
      </c>
      <c r="BC22" s="2308">
        <v>0</v>
      </c>
      <c r="BD22" s="795" t="s">
        <v>1090</v>
      </c>
      <c r="BE22" s="795"/>
      <c r="BF22" s="795"/>
      <c r="BG22" s="2392">
        <f t="shared" si="7"/>
        <v>0</v>
      </c>
      <c r="BH22" s="2391">
        <f t="shared" si="8"/>
        <v>0</v>
      </c>
      <c r="BI22" s="2392" t="s">
        <v>1090</v>
      </c>
      <c r="BJ22" s="2391" t="s">
        <v>1090</v>
      </c>
      <c r="BK22" s="2391"/>
      <c r="BL22" s="2391" t="s">
        <v>1090</v>
      </c>
      <c r="BM22" s="2394"/>
      <c r="BN22" s="2393"/>
      <c r="BO22" s="2393"/>
      <c r="BP22" s="2393"/>
    </row>
    <row r="23" spans="1:68" s="796" customFormat="1" ht="197.25" customHeight="1" thickBot="1">
      <c r="A23" s="2545"/>
      <c r="B23" s="2735"/>
      <c r="C23" s="1381" t="s">
        <v>541</v>
      </c>
      <c r="D23" s="977" t="s">
        <v>1982</v>
      </c>
      <c r="E23" s="889" t="s">
        <v>542</v>
      </c>
      <c r="F23" s="889">
        <v>6</v>
      </c>
      <c r="G23" s="889" t="s">
        <v>543</v>
      </c>
      <c r="H23" s="889" t="s">
        <v>514</v>
      </c>
      <c r="I23" s="1398">
        <v>0.125</v>
      </c>
      <c r="J23" s="889" t="s">
        <v>544</v>
      </c>
      <c r="K23" s="910">
        <v>42037</v>
      </c>
      <c r="L23" s="910">
        <v>42323</v>
      </c>
      <c r="M23" s="1406"/>
      <c r="N23" s="1406"/>
      <c r="O23" s="1406">
        <v>1</v>
      </c>
      <c r="P23" s="1406"/>
      <c r="Q23" s="1406">
        <v>1</v>
      </c>
      <c r="R23" s="1406"/>
      <c r="S23" s="1406">
        <v>1</v>
      </c>
      <c r="T23" s="1407"/>
      <c r="U23" s="1408">
        <v>1</v>
      </c>
      <c r="V23" s="1400"/>
      <c r="W23" s="1400">
        <v>1</v>
      </c>
      <c r="X23" s="1400"/>
      <c r="Y23" s="875">
        <f>+SUM(M23:X23)</f>
        <v>5</v>
      </c>
      <c r="Z23" s="868">
        <v>0</v>
      </c>
      <c r="AA23" s="850" t="s">
        <v>1090</v>
      </c>
      <c r="AB23" s="1440">
        <f t="shared" si="2"/>
        <v>0</v>
      </c>
      <c r="AC23" s="1632">
        <f t="shared" si="3"/>
        <v>0</v>
      </c>
      <c r="AD23" s="1575">
        <v>0</v>
      </c>
      <c r="AE23" s="1632" t="s">
        <v>1090</v>
      </c>
      <c r="AF23" s="1632">
        <f aca="true" t="shared" si="9" ref="AF23">AD23/Y23</f>
        <v>0</v>
      </c>
      <c r="AG23" s="1632">
        <f t="shared" si="4"/>
        <v>0</v>
      </c>
      <c r="AH23" s="1403"/>
      <c r="AI23" s="1402"/>
      <c r="AJ23" s="1403"/>
      <c r="AK23" s="1440"/>
      <c r="AL23" s="1402"/>
      <c r="AM23" s="1882">
        <v>0</v>
      </c>
      <c r="AN23" s="1883">
        <f t="shared" si="0"/>
        <v>0</v>
      </c>
      <c r="AO23" s="1882" t="s">
        <v>1090</v>
      </c>
      <c r="AP23" s="1883">
        <v>0</v>
      </c>
      <c r="AQ23" s="1883">
        <v>0</v>
      </c>
      <c r="AR23" s="1883">
        <v>0</v>
      </c>
      <c r="AS23" s="1884">
        <v>0</v>
      </c>
      <c r="AT23" s="1883">
        <v>0</v>
      </c>
      <c r="AU23" s="1882" t="s">
        <v>2438</v>
      </c>
      <c r="AV23" s="1882"/>
      <c r="AW23" s="2196">
        <f t="shared" si="5"/>
        <v>2</v>
      </c>
      <c r="AX23" s="2218">
        <f t="shared" si="6"/>
        <v>1</v>
      </c>
      <c r="AY23" s="2196">
        <v>0</v>
      </c>
      <c r="AZ23" s="2218">
        <v>0</v>
      </c>
      <c r="BA23" s="2218">
        <v>0</v>
      </c>
      <c r="BB23" s="2218">
        <v>0</v>
      </c>
      <c r="BC23" s="2308">
        <v>0</v>
      </c>
      <c r="BD23" s="795" t="s">
        <v>1090</v>
      </c>
      <c r="BE23" s="795"/>
      <c r="BF23" s="795"/>
      <c r="BG23" s="2392">
        <f t="shared" si="7"/>
        <v>3</v>
      </c>
      <c r="BH23" s="2391">
        <f t="shared" si="8"/>
        <v>1</v>
      </c>
      <c r="BI23" s="2392">
        <v>3</v>
      </c>
      <c r="BJ23" s="2391">
        <v>1</v>
      </c>
      <c r="BK23" s="2391"/>
      <c r="BL23" s="2391">
        <f>BI23/Y23</f>
        <v>0.6</v>
      </c>
      <c r="BM23" s="2394"/>
      <c r="BN23" s="2393"/>
      <c r="BO23" s="2393"/>
      <c r="BP23" s="2393"/>
    </row>
    <row r="24" spans="1:68" s="1415" customFormat="1" ht="18.75" thickBot="1">
      <c r="A24" s="2855" t="s">
        <v>130</v>
      </c>
      <c r="B24" s="2855"/>
      <c r="C24" s="2855"/>
      <c r="D24" s="2855"/>
      <c r="E24" s="1409"/>
      <c r="F24" s="1409"/>
      <c r="G24" s="1409"/>
      <c r="H24" s="1409"/>
      <c r="I24" s="1410">
        <f>+SUM(I16:I23)</f>
        <v>1</v>
      </c>
      <c r="J24" s="1409"/>
      <c r="K24" s="1409"/>
      <c r="L24" s="1409"/>
      <c r="M24" s="1409"/>
      <c r="N24" s="1409"/>
      <c r="O24" s="1409"/>
      <c r="P24" s="1409"/>
      <c r="Q24" s="1409"/>
      <c r="R24" s="1409"/>
      <c r="S24" s="1409"/>
      <c r="T24" s="1409"/>
      <c r="U24" s="1409"/>
      <c r="V24" s="1409"/>
      <c r="W24" s="1409"/>
      <c r="X24" s="1409"/>
      <c r="Y24" s="1411"/>
      <c r="Z24" s="1412">
        <f>SUM(Z16:Z23)</f>
        <v>0</v>
      </c>
      <c r="AA24" s="1413"/>
      <c r="AB24" s="1577"/>
      <c r="AC24" s="1539" t="s">
        <v>1090</v>
      </c>
      <c r="AD24" s="1578"/>
      <c r="AE24" s="1539" t="s">
        <v>1090</v>
      </c>
      <c r="AF24" s="1539"/>
      <c r="AG24" s="1539">
        <f>AVERAGE(AG16:AG23)</f>
        <v>0</v>
      </c>
      <c r="AH24" s="1414"/>
      <c r="AI24" s="1414"/>
      <c r="AJ24" s="1414"/>
      <c r="AK24" s="1455"/>
      <c r="AL24" s="1414"/>
      <c r="AM24" s="1414"/>
      <c r="AN24" s="1414" t="s">
        <v>1090</v>
      </c>
      <c r="AO24" s="1414"/>
      <c r="AP24" s="1908">
        <f>AVERAGE(AP16:AP23)</f>
        <v>0</v>
      </c>
      <c r="AQ24" s="1414"/>
      <c r="AR24" s="1908">
        <f>AVERAGE(AR16:AR23)</f>
        <v>0</v>
      </c>
      <c r="AS24" s="1414"/>
      <c r="AT24" s="1414"/>
      <c r="AU24" s="1414"/>
      <c r="AV24" s="1414"/>
      <c r="AW24" s="1414"/>
      <c r="AX24" s="2221">
        <v>1</v>
      </c>
      <c r="AY24" s="1414"/>
      <c r="AZ24" s="2223">
        <f>AVERAGE(AZ16:AZ23)</f>
        <v>0</v>
      </c>
      <c r="BA24" s="1414"/>
      <c r="BB24" s="2224">
        <f>AVERAGE(BB16:BB23)</f>
        <v>0</v>
      </c>
      <c r="BC24" s="1414"/>
      <c r="BD24" s="1414"/>
      <c r="BE24" s="1414"/>
      <c r="BF24" s="1414"/>
      <c r="BG24" s="1414"/>
      <c r="BH24" s="2221">
        <v>1</v>
      </c>
      <c r="BI24" s="1414"/>
      <c r="BJ24" s="2223">
        <f>AVERAGE(BJ16:BJ23)</f>
        <v>1</v>
      </c>
      <c r="BK24" s="1414"/>
      <c r="BL24" s="2224">
        <f>AVERAGE(BL16:BL23)</f>
        <v>0.6</v>
      </c>
      <c r="BM24" s="1414"/>
      <c r="BN24" s="1414"/>
      <c r="BO24" s="1414"/>
      <c r="BP24" s="1414"/>
    </row>
    <row r="25" spans="1:68" s="796" customFormat="1" ht="39" thickBot="1">
      <c r="A25" s="1379">
        <v>2</v>
      </c>
      <c r="B25" s="1379" t="s">
        <v>228</v>
      </c>
      <c r="C25" s="1381" t="s">
        <v>237</v>
      </c>
      <c r="D25" s="1380" t="s">
        <v>545</v>
      </c>
      <c r="E25" s="911" t="s">
        <v>148</v>
      </c>
      <c r="F25" s="914" t="s">
        <v>546</v>
      </c>
      <c r="G25" s="873" t="s">
        <v>150</v>
      </c>
      <c r="H25" s="889" t="s">
        <v>514</v>
      </c>
      <c r="I25" s="1416">
        <v>1</v>
      </c>
      <c r="J25" s="889" t="s">
        <v>260</v>
      </c>
      <c r="K25" s="1417">
        <v>42006</v>
      </c>
      <c r="L25" s="1417">
        <v>42369</v>
      </c>
      <c r="M25" s="870"/>
      <c r="N25" s="870"/>
      <c r="O25" s="870"/>
      <c r="P25" s="870"/>
      <c r="Q25" s="870"/>
      <c r="R25" s="870"/>
      <c r="S25" s="870"/>
      <c r="T25" s="870"/>
      <c r="U25" s="1146"/>
      <c r="V25" s="1146"/>
      <c r="W25" s="1146"/>
      <c r="X25" s="1146"/>
      <c r="Y25" s="1401" t="s">
        <v>149</v>
      </c>
      <c r="Z25" s="868">
        <v>0</v>
      </c>
      <c r="AA25" s="850" t="s">
        <v>1090</v>
      </c>
      <c r="AB25" s="1440">
        <f>M25+N25</f>
        <v>0</v>
      </c>
      <c r="AC25" s="1632">
        <f t="shared" si="3"/>
        <v>0</v>
      </c>
      <c r="AD25" s="1575">
        <v>0</v>
      </c>
      <c r="AE25" s="1632" t="s">
        <v>1090</v>
      </c>
      <c r="AF25" s="1632" t="s">
        <v>1090</v>
      </c>
      <c r="AG25" s="1632" t="str">
        <f>AF25</f>
        <v>-</v>
      </c>
      <c r="AH25" s="1418"/>
      <c r="AI25" s="1402"/>
      <c r="AJ25" s="1402"/>
      <c r="AK25" s="1440"/>
      <c r="AL25" s="1402"/>
      <c r="AM25" s="1882">
        <v>0</v>
      </c>
      <c r="AN25" s="1883">
        <f t="shared" si="0"/>
        <v>0</v>
      </c>
      <c r="AO25" s="1882" t="s">
        <v>1090</v>
      </c>
      <c r="AP25" s="1882" t="s">
        <v>1090</v>
      </c>
      <c r="AQ25" s="1882" t="s">
        <v>1090</v>
      </c>
      <c r="AR25" s="1882" t="str">
        <f t="shared" si="1"/>
        <v>-</v>
      </c>
      <c r="AS25" s="1884">
        <v>0</v>
      </c>
      <c r="AT25" s="1883">
        <v>0</v>
      </c>
      <c r="AU25" s="1882"/>
      <c r="AV25" s="1882"/>
      <c r="AW25" s="2196">
        <f>SUM(M25:R25)</f>
        <v>0</v>
      </c>
      <c r="AX25" s="2218">
        <f t="shared" si="6"/>
        <v>0</v>
      </c>
      <c r="AY25" s="2196" t="s">
        <v>1090</v>
      </c>
      <c r="AZ25" s="2218" t="s">
        <v>1090</v>
      </c>
      <c r="BA25" s="795" t="s">
        <v>1090</v>
      </c>
      <c r="BB25" s="2218" t="s">
        <v>1090</v>
      </c>
      <c r="BC25" s="2308">
        <v>0</v>
      </c>
      <c r="BD25" s="795" t="s">
        <v>1090</v>
      </c>
      <c r="BE25" s="795"/>
      <c r="BF25" s="795"/>
      <c r="BG25" s="2392">
        <f>SUM(M25:T25)</f>
        <v>0</v>
      </c>
      <c r="BH25" s="2391">
        <f t="shared" si="8"/>
        <v>0</v>
      </c>
      <c r="BI25" s="2392" t="s">
        <v>1090</v>
      </c>
      <c r="BJ25" s="2391" t="s">
        <v>1090</v>
      </c>
      <c r="BK25" s="2393"/>
      <c r="BL25" s="2391" t="s">
        <v>1090</v>
      </c>
      <c r="BM25" s="2394"/>
      <c r="BN25" s="2393"/>
      <c r="BO25" s="2393"/>
      <c r="BP25" s="2393"/>
    </row>
    <row r="26" spans="1:68" s="1415" customFormat="1" ht="18.75" thickBot="1">
      <c r="A26" s="2855" t="s">
        <v>130</v>
      </c>
      <c r="B26" s="2855"/>
      <c r="C26" s="2855"/>
      <c r="D26" s="2855"/>
      <c r="E26" s="1409"/>
      <c r="F26" s="1409"/>
      <c r="G26" s="1409"/>
      <c r="H26" s="1409"/>
      <c r="I26" s="1410">
        <f>+I25</f>
        <v>1</v>
      </c>
      <c r="J26" s="1409"/>
      <c r="K26" s="1409"/>
      <c r="L26" s="1409"/>
      <c r="M26" s="1409"/>
      <c r="N26" s="1409"/>
      <c r="O26" s="1409"/>
      <c r="P26" s="1409"/>
      <c r="Q26" s="1409"/>
      <c r="R26" s="1409"/>
      <c r="S26" s="1409"/>
      <c r="T26" s="1409"/>
      <c r="U26" s="1409"/>
      <c r="V26" s="1409"/>
      <c r="W26" s="1409"/>
      <c r="X26" s="1409"/>
      <c r="Y26" s="1411"/>
      <c r="Z26" s="1412">
        <f>SUM(Z25:Z25)</f>
        <v>0</v>
      </c>
      <c r="AA26" s="1413"/>
      <c r="AB26" s="1534"/>
      <c r="AC26" s="1532" t="s">
        <v>1090</v>
      </c>
      <c r="AD26" s="1579"/>
      <c r="AE26" s="1532" t="s">
        <v>1090</v>
      </c>
      <c r="AF26" s="1532"/>
      <c r="AG26" s="1532" t="s">
        <v>1090</v>
      </c>
      <c r="AH26" s="1419"/>
      <c r="AI26" s="1419"/>
      <c r="AJ26" s="1419"/>
      <c r="AK26" s="1456"/>
      <c r="AL26" s="1419"/>
      <c r="AM26" s="1419"/>
      <c r="AN26" s="1419" t="s">
        <v>1090</v>
      </c>
      <c r="AO26" s="1419"/>
      <c r="AP26" s="1419" t="s">
        <v>1090</v>
      </c>
      <c r="AQ26" s="1419"/>
      <c r="AR26" s="1419" t="s">
        <v>1090</v>
      </c>
      <c r="AS26" s="1419"/>
      <c r="AT26" s="1419"/>
      <c r="AU26" s="1419"/>
      <c r="AV26" s="1419"/>
      <c r="AW26" s="1419"/>
      <c r="AX26" s="2222">
        <v>1</v>
      </c>
      <c r="AY26" s="1419"/>
      <c r="AZ26" s="1419" t="s">
        <v>1090</v>
      </c>
      <c r="BA26" s="1419"/>
      <c r="BB26" s="1419" t="s">
        <v>1090</v>
      </c>
      <c r="BC26" s="1419"/>
      <c r="BD26" s="1419"/>
      <c r="BE26" s="1419"/>
      <c r="BF26" s="1419"/>
      <c r="BG26" s="1419"/>
      <c r="BH26" s="2222">
        <v>1</v>
      </c>
      <c r="BI26" s="1419" t="s">
        <v>1090</v>
      </c>
      <c r="BJ26" s="1419" t="s">
        <v>1090</v>
      </c>
      <c r="BK26" s="1419"/>
      <c r="BL26" s="1419" t="s">
        <v>1090</v>
      </c>
      <c r="BM26" s="1419"/>
      <c r="BN26" s="1419"/>
      <c r="BO26" s="1419"/>
      <c r="BP26" s="1419"/>
    </row>
    <row r="27" spans="1:68" s="796" customFormat="1" ht="39" thickBot="1">
      <c r="A27" s="2856">
        <v>4</v>
      </c>
      <c r="B27" s="2856" t="s">
        <v>131</v>
      </c>
      <c r="C27" s="2753" t="s">
        <v>503</v>
      </c>
      <c r="D27" s="1380" t="s">
        <v>504</v>
      </c>
      <c r="E27" s="873" t="s">
        <v>72</v>
      </c>
      <c r="F27" s="1420" t="s">
        <v>100</v>
      </c>
      <c r="G27" s="873" t="s">
        <v>73</v>
      </c>
      <c r="H27" s="889" t="s">
        <v>514</v>
      </c>
      <c r="I27" s="1416">
        <v>0.16666666666666669</v>
      </c>
      <c r="J27" s="889" t="s">
        <v>134</v>
      </c>
      <c r="K27" s="871">
        <v>42005</v>
      </c>
      <c r="L27" s="871">
        <v>42369</v>
      </c>
      <c r="M27" s="870"/>
      <c r="N27" s="870"/>
      <c r="O27" s="870"/>
      <c r="P27" s="870"/>
      <c r="Q27" s="870"/>
      <c r="R27" s="870"/>
      <c r="S27" s="870"/>
      <c r="T27" s="870"/>
      <c r="U27" s="870"/>
      <c r="V27" s="870"/>
      <c r="W27" s="870"/>
      <c r="X27" s="870"/>
      <c r="Y27" s="869" t="s">
        <v>100</v>
      </c>
      <c r="Z27" s="1421">
        <v>0</v>
      </c>
      <c r="AA27" s="850" t="s">
        <v>1090</v>
      </c>
      <c r="AB27" s="1440">
        <f>M27+N27</f>
        <v>0</v>
      </c>
      <c r="AC27" s="1632">
        <f t="shared" si="3"/>
        <v>0</v>
      </c>
      <c r="AD27" s="1575">
        <v>0</v>
      </c>
      <c r="AE27" s="1632" t="s">
        <v>1090</v>
      </c>
      <c r="AF27" s="1632" t="s">
        <v>1090</v>
      </c>
      <c r="AG27" s="1632" t="str">
        <f>AF27</f>
        <v>-</v>
      </c>
      <c r="AH27" s="1403"/>
      <c r="AI27" s="1402"/>
      <c r="AJ27" s="1402"/>
      <c r="AK27" s="1440"/>
      <c r="AL27" s="1402"/>
      <c r="AM27" s="1882">
        <v>0</v>
      </c>
      <c r="AN27" s="1883">
        <f t="shared" si="0"/>
        <v>0</v>
      </c>
      <c r="AO27" s="1882" t="s">
        <v>1090</v>
      </c>
      <c r="AP27" s="1883" t="s">
        <v>1090</v>
      </c>
      <c r="AQ27" s="1883" t="s">
        <v>1090</v>
      </c>
      <c r="AR27" s="1883" t="str">
        <f t="shared" si="1"/>
        <v>-</v>
      </c>
      <c r="AS27" s="1884">
        <v>0</v>
      </c>
      <c r="AT27" s="1883">
        <v>0</v>
      </c>
      <c r="AU27" s="1882"/>
      <c r="AV27" s="1882"/>
      <c r="AW27" s="2196">
        <f>SUM(M27:R27)</f>
        <v>0</v>
      </c>
      <c r="AX27" s="2218">
        <f t="shared" si="6"/>
        <v>0</v>
      </c>
      <c r="AY27" s="2196" t="s">
        <v>1090</v>
      </c>
      <c r="AZ27" s="2218" t="s">
        <v>1090</v>
      </c>
      <c r="BA27" s="2218" t="s">
        <v>1090</v>
      </c>
      <c r="BB27" s="2218" t="s">
        <v>1090</v>
      </c>
      <c r="BC27" s="2308">
        <v>0</v>
      </c>
      <c r="BD27" s="795" t="s">
        <v>1090</v>
      </c>
      <c r="BE27" s="795"/>
      <c r="BF27" s="795"/>
      <c r="BG27" s="2392">
        <f>SUM(M27:T27)</f>
        <v>0</v>
      </c>
      <c r="BH27" s="2391">
        <f t="shared" si="8"/>
        <v>0</v>
      </c>
      <c r="BI27" s="2392" t="s">
        <v>1090</v>
      </c>
      <c r="BJ27" s="2391" t="s">
        <v>1090</v>
      </c>
      <c r="BK27" s="2391"/>
      <c r="BL27" s="2391" t="s">
        <v>1090</v>
      </c>
      <c r="BM27" s="2394"/>
      <c r="BN27" s="2393"/>
      <c r="BO27" s="2393"/>
      <c r="BP27" s="2393"/>
    </row>
    <row r="28" spans="1:68" s="796" customFormat="1" ht="39" thickBot="1">
      <c r="A28" s="2856"/>
      <c r="B28" s="2856"/>
      <c r="C28" s="2753"/>
      <c r="D28" s="1380" t="s">
        <v>135</v>
      </c>
      <c r="E28" s="873" t="s">
        <v>136</v>
      </c>
      <c r="F28" s="1420">
        <v>4</v>
      </c>
      <c r="G28" s="873" t="s">
        <v>137</v>
      </c>
      <c r="H28" s="889" t="s">
        <v>514</v>
      </c>
      <c r="I28" s="1416">
        <v>0.16666666666666669</v>
      </c>
      <c r="J28" s="889" t="s">
        <v>138</v>
      </c>
      <c r="K28" s="871">
        <v>42005</v>
      </c>
      <c r="L28" s="871">
        <v>42369</v>
      </c>
      <c r="M28" s="870"/>
      <c r="N28" s="870"/>
      <c r="O28" s="870">
        <v>1</v>
      </c>
      <c r="P28" s="870"/>
      <c r="Q28" s="870"/>
      <c r="R28" s="870">
        <v>1</v>
      </c>
      <c r="S28" s="870"/>
      <c r="T28" s="870"/>
      <c r="U28" s="870">
        <v>1</v>
      </c>
      <c r="V28" s="870"/>
      <c r="W28" s="870"/>
      <c r="X28" s="870">
        <v>1</v>
      </c>
      <c r="Y28" s="875">
        <f>+SUM(M28:X28)</f>
        <v>4</v>
      </c>
      <c r="Z28" s="1421">
        <v>0</v>
      </c>
      <c r="AA28" s="850" t="s">
        <v>1090</v>
      </c>
      <c r="AB28" s="1440">
        <f aca="true" t="shared" si="10" ref="AB28:AB32">M28+N28</f>
        <v>0</v>
      </c>
      <c r="AC28" s="1632">
        <f t="shared" si="3"/>
        <v>0</v>
      </c>
      <c r="AD28" s="1575">
        <v>0</v>
      </c>
      <c r="AE28" s="1632" t="s">
        <v>1090</v>
      </c>
      <c r="AF28" s="1632">
        <f aca="true" t="shared" si="11" ref="AF28:AF30">AD28/Y28</f>
        <v>0</v>
      </c>
      <c r="AG28" s="1632">
        <f aca="true" t="shared" si="12" ref="AG28:AG32">AF28</f>
        <v>0</v>
      </c>
      <c r="AH28" s="1403"/>
      <c r="AI28" s="1402"/>
      <c r="AJ28" s="1402"/>
      <c r="AK28" s="1440"/>
      <c r="AL28" s="1402"/>
      <c r="AM28" s="1882">
        <v>0</v>
      </c>
      <c r="AN28" s="1883">
        <f t="shared" si="0"/>
        <v>0</v>
      </c>
      <c r="AO28" s="1882" t="s">
        <v>1090</v>
      </c>
      <c r="AP28" s="1883">
        <v>0</v>
      </c>
      <c r="AQ28" s="1883">
        <v>0</v>
      </c>
      <c r="AR28" s="1883">
        <v>0</v>
      </c>
      <c r="AS28" s="1884">
        <v>0</v>
      </c>
      <c r="AT28" s="1883">
        <v>0</v>
      </c>
      <c r="AU28" s="1882"/>
      <c r="AV28" s="1882"/>
      <c r="AW28" s="2196">
        <f aca="true" t="shared" si="13" ref="AW28:AW32">SUM(M28:R28)</f>
        <v>2</v>
      </c>
      <c r="AX28" s="2218">
        <f t="shared" si="6"/>
        <v>1</v>
      </c>
      <c r="AY28" s="2196">
        <v>2</v>
      </c>
      <c r="AZ28" s="2218">
        <v>1</v>
      </c>
      <c r="BA28" s="2218">
        <v>0.5</v>
      </c>
      <c r="BB28" s="2218">
        <v>0.5</v>
      </c>
      <c r="BC28" s="2308">
        <v>0</v>
      </c>
      <c r="BD28" s="795" t="s">
        <v>1090</v>
      </c>
      <c r="BE28" s="795"/>
      <c r="BF28" s="795"/>
      <c r="BG28" s="2392">
        <f aca="true" t="shared" si="14" ref="BG28:BG32">SUM(M28:T28)</f>
        <v>2</v>
      </c>
      <c r="BH28" s="2391">
        <f t="shared" si="8"/>
        <v>1</v>
      </c>
      <c r="BI28" s="2392">
        <v>2</v>
      </c>
      <c r="BJ28" s="2391">
        <v>1</v>
      </c>
      <c r="BK28" s="2391"/>
      <c r="BL28" s="2391">
        <v>0.5</v>
      </c>
      <c r="BM28" s="2394"/>
      <c r="BN28" s="2393"/>
      <c r="BO28" s="2393"/>
      <c r="BP28" s="2393"/>
    </row>
    <row r="29" spans="1:68" s="796" customFormat="1" ht="26.25" thickBot="1">
      <c r="A29" s="2856"/>
      <c r="B29" s="2856"/>
      <c r="C29" s="2756" t="s">
        <v>507</v>
      </c>
      <c r="D29" s="1380" t="s">
        <v>151</v>
      </c>
      <c r="E29" s="911" t="s">
        <v>152</v>
      </c>
      <c r="F29" s="913">
        <v>12</v>
      </c>
      <c r="G29" s="913" t="s">
        <v>153</v>
      </c>
      <c r="H29" s="889" t="s">
        <v>514</v>
      </c>
      <c r="I29" s="1416">
        <v>0.16666666666666669</v>
      </c>
      <c r="J29" s="911" t="s">
        <v>154</v>
      </c>
      <c r="K29" s="1422">
        <v>42006</v>
      </c>
      <c r="L29" s="1423">
        <v>42369</v>
      </c>
      <c r="M29" s="1424">
        <v>1</v>
      </c>
      <c r="N29" s="870">
        <v>1</v>
      </c>
      <c r="O29" s="870">
        <v>1</v>
      </c>
      <c r="P29" s="870">
        <v>1</v>
      </c>
      <c r="Q29" s="870">
        <v>1</v>
      </c>
      <c r="R29" s="870">
        <v>1</v>
      </c>
      <c r="S29" s="870">
        <v>1</v>
      </c>
      <c r="T29" s="870">
        <v>1</v>
      </c>
      <c r="U29" s="870">
        <v>1</v>
      </c>
      <c r="V29" s="870">
        <v>1</v>
      </c>
      <c r="W29" s="870">
        <v>1</v>
      </c>
      <c r="X29" s="870">
        <v>1</v>
      </c>
      <c r="Y29" s="875">
        <f>+SUM(M29:X29)</f>
        <v>12</v>
      </c>
      <c r="Z29" s="1421">
        <v>0</v>
      </c>
      <c r="AA29" s="850" t="s">
        <v>1090</v>
      </c>
      <c r="AB29" s="1440">
        <f t="shared" si="10"/>
        <v>2</v>
      </c>
      <c r="AC29" s="1632">
        <f t="shared" si="3"/>
        <v>1</v>
      </c>
      <c r="AD29" s="1575">
        <v>2</v>
      </c>
      <c r="AE29" s="1632">
        <f aca="true" t="shared" si="15" ref="AE29:AE30">AD29/AB29</f>
        <v>1</v>
      </c>
      <c r="AF29" s="1632">
        <f t="shared" si="11"/>
        <v>0.16666666666666666</v>
      </c>
      <c r="AG29" s="1632">
        <f t="shared" si="12"/>
        <v>0.16666666666666666</v>
      </c>
      <c r="AH29" s="1403"/>
      <c r="AI29" s="1402"/>
      <c r="AJ29" s="1402"/>
      <c r="AK29" s="1440"/>
      <c r="AL29" s="1402"/>
      <c r="AM29" s="1882">
        <v>4</v>
      </c>
      <c r="AN29" s="1883">
        <f t="shared" si="0"/>
        <v>1</v>
      </c>
      <c r="AO29" s="1882">
        <v>2</v>
      </c>
      <c r="AP29" s="1883">
        <f aca="true" t="shared" si="16" ref="AP29:AP30">AO29/AM29</f>
        <v>0.5</v>
      </c>
      <c r="AQ29" s="1883">
        <f>AO29/Y29</f>
        <v>0.16666666666666666</v>
      </c>
      <c r="AR29" s="1883">
        <f t="shared" si="1"/>
        <v>0.5</v>
      </c>
      <c r="AS29" s="1884">
        <v>0</v>
      </c>
      <c r="AT29" s="1883">
        <v>0</v>
      </c>
      <c r="AU29" s="1882"/>
      <c r="AV29" s="1882"/>
      <c r="AW29" s="2196">
        <f t="shared" si="13"/>
        <v>6</v>
      </c>
      <c r="AX29" s="2218">
        <f t="shared" si="6"/>
        <v>1</v>
      </c>
      <c r="AY29" s="2196">
        <v>2</v>
      </c>
      <c r="AZ29" s="2218">
        <v>1</v>
      </c>
      <c r="BA29" s="2218">
        <v>0.5</v>
      </c>
      <c r="BB29" s="2218">
        <v>0.5</v>
      </c>
      <c r="BC29" s="2308">
        <v>0</v>
      </c>
      <c r="BD29" s="795" t="s">
        <v>1090</v>
      </c>
      <c r="BE29" s="795"/>
      <c r="BF29" s="795"/>
      <c r="BG29" s="2392">
        <f t="shared" si="14"/>
        <v>8</v>
      </c>
      <c r="BH29" s="2391">
        <f t="shared" si="8"/>
        <v>1</v>
      </c>
      <c r="BI29" s="2392">
        <v>7</v>
      </c>
      <c r="BJ29" s="2391">
        <f>BI29/BG29</f>
        <v>0.875</v>
      </c>
      <c r="BK29" s="2391"/>
      <c r="BL29" s="2391">
        <f>BI29/Y29</f>
        <v>0.5833333333333334</v>
      </c>
      <c r="BM29" s="2394"/>
      <c r="BN29" s="2393"/>
      <c r="BO29" s="2393"/>
      <c r="BP29" s="2393"/>
    </row>
    <row r="30" spans="1:68" s="796" customFormat="1" ht="39" thickBot="1">
      <c r="A30" s="2856"/>
      <c r="B30" s="2856"/>
      <c r="C30" s="2756"/>
      <c r="D30" s="1380" t="s">
        <v>155</v>
      </c>
      <c r="E30" s="1425" t="s">
        <v>152</v>
      </c>
      <c r="F30" s="1426">
        <v>12</v>
      </c>
      <c r="G30" s="1425" t="s">
        <v>153</v>
      </c>
      <c r="H30" s="889" t="s">
        <v>514</v>
      </c>
      <c r="I30" s="1416">
        <v>0.16666666666666669</v>
      </c>
      <c r="J30" s="1383" t="s">
        <v>154</v>
      </c>
      <c r="K30" s="877">
        <v>42006</v>
      </c>
      <c r="L30" s="877">
        <v>42369</v>
      </c>
      <c r="M30" s="876">
        <v>1</v>
      </c>
      <c r="N30" s="876">
        <v>1</v>
      </c>
      <c r="O30" s="876">
        <v>1</v>
      </c>
      <c r="P30" s="876">
        <v>1</v>
      </c>
      <c r="Q30" s="876">
        <v>1</v>
      </c>
      <c r="R30" s="876">
        <v>1</v>
      </c>
      <c r="S30" s="876">
        <v>1</v>
      </c>
      <c r="T30" s="876">
        <v>1</v>
      </c>
      <c r="U30" s="876">
        <v>1</v>
      </c>
      <c r="V30" s="876">
        <v>1</v>
      </c>
      <c r="W30" s="876">
        <v>1</v>
      </c>
      <c r="X30" s="876">
        <v>1</v>
      </c>
      <c r="Y30" s="875">
        <f>+SUM(M30:X30)</f>
        <v>12</v>
      </c>
      <c r="Z30" s="1421">
        <v>0</v>
      </c>
      <c r="AA30" s="850" t="s">
        <v>1090</v>
      </c>
      <c r="AB30" s="1440">
        <f t="shared" si="10"/>
        <v>2</v>
      </c>
      <c r="AC30" s="1632">
        <f t="shared" si="3"/>
        <v>1</v>
      </c>
      <c r="AD30" s="1575">
        <v>2</v>
      </c>
      <c r="AE30" s="1632">
        <f t="shared" si="15"/>
        <v>1</v>
      </c>
      <c r="AF30" s="1632">
        <f t="shared" si="11"/>
        <v>0.16666666666666666</v>
      </c>
      <c r="AG30" s="1632">
        <f t="shared" si="12"/>
        <v>0.16666666666666666</v>
      </c>
      <c r="AH30" s="1403"/>
      <c r="AI30" s="1402"/>
      <c r="AJ30" s="1402"/>
      <c r="AK30" s="1440"/>
      <c r="AL30" s="1402"/>
      <c r="AM30" s="1882">
        <v>4</v>
      </c>
      <c r="AN30" s="1883">
        <f t="shared" si="0"/>
        <v>1</v>
      </c>
      <c r="AO30" s="1882">
        <v>2</v>
      </c>
      <c r="AP30" s="1883">
        <f t="shared" si="16"/>
        <v>0.5</v>
      </c>
      <c r="AQ30" s="1883">
        <f aca="true" t="shared" si="17" ref="AQ30">AO30/Y30</f>
        <v>0.16666666666666666</v>
      </c>
      <c r="AR30" s="1883">
        <f t="shared" si="1"/>
        <v>0.5</v>
      </c>
      <c r="AS30" s="1884">
        <v>0</v>
      </c>
      <c r="AT30" s="1883">
        <v>0</v>
      </c>
      <c r="AU30" s="1882"/>
      <c r="AV30" s="1882"/>
      <c r="AW30" s="2196">
        <f t="shared" si="13"/>
        <v>6</v>
      </c>
      <c r="AX30" s="2218">
        <f t="shared" si="6"/>
        <v>1</v>
      </c>
      <c r="AY30" s="2196">
        <v>2</v>
      </c>
      <c r="AZ30" s="2218">
        <v>1</v>
      </c>
      <c r="BA30" s="2218">
        <v>0.5</v>
      </c>
      <c r="BB30" s="2218">
        <v>0.5</v>
      </c>
      <c r="BC30" s="2308">
        <v>0</v>
      </c>
      <c r="BD30" s="795" t="s">
        <v>1090</v>
      </c>
      <c r="BE30" s="795"/>
      <c r="BF30" s="795"/>
      <c r="BG30" s="2392">
        <f t="shared" si="14"/>
        <v>8</v>
      </c>
      <c r="BH30" s="2391">
        <f t="shared" si="8"/>
        <v>1</v>
      </c>
      <c r="BI30" s="2392">
        <v>8</v>
      </c>
      <c r="BJ30" s="2391">
        <v>1</v>
      </c>
      <c r="BK30" s="2391"/>
      <c r="BL30" s="2391">
        <f>BI30/Y30</f>
        <v>0.6666666666666666</v>
      </c>
      <c r="BM30" s="2394"/>
      <c r="BN30" s="2393"/>
      <c r="BO30" s="2393"/>
      <c r="BP30" s="2393"/>
    </row>
    <row r="31" spans="1:68" s="796" customFormat="1" ht="64.5" thickBot="1">
      <c r="A31" s="2856"/>
      <c r="B31" s="2856"/>
      <c r="C31" s="2756"/>
      <c r="D31" s="945" t="s">
        <v>508</v>
      </c>
      <c r="E31" s="873" t="s">
        <v>157</v>
      </c>
      <c r="F31" s="1420" t="s">
        <v>140</v>
      </c>
      <c r="G31" s="873" t="s">
        <v>141</v>
      </c>
      <c r="H31" s="889" t="s">
        <v>514</v>
      </c>
      <c r="I31" s="1416">
        <v>0.16666666666666669</v>
      </c>
      <c r="J31" s="889" t="s">
        <v>158</v>
      </c>
      <c r="K31" s="871">
        <v>42006</v>
      </c>
      <c r="L31" s="871">
        <v>42369</v>
      </c>
      <c r="M31" s="870"/>
      <c r="N31" s="870"/>
      <c r="O31" s="870"/>
      <c r="P31" s="870"/>
      <c r="Q31" s="870"/>
      <c r="R31" s="870"/>
      <c r="S31" s="870"/>
      <c r="T31" s="870"/>
      <c r="U31" s="870"/>
      <c r="V31" s="870"/>
      <c r="W31" s="870"/>
      <c r="X31" s="870"/>
      <c r="Y31" s="869" t="s">
        <v>140</v>
      </c>
      <c r="Z31" s="1421">
        <v>0</v>
      </c>
      <c r="AA31" s="850" t="s">
        <v>1090</v>
      </c>
      <c r="AB31" s="1440">
        <f t="shared" si="10"/>
        <v>0</v>
      </c>
      <c r="AC31" s="1632">
        <f t="shared" si="3"/>
        <v>0</v>
      </c>
      <c r="AD31" s="1575">
        <v>0</v>
      </c>
      <c r="AE31" s="1632" t="s">
        <v>1090</v>
      </c>
      <c r="AF31" s="1632" t="s">
        <v>1090</v>
      </c>
      <c r="AG31" s="1632" t="str">
        <f t="shared" si="12"/>
        <v>-</v>
      </c>
      <c r="AH31" s="1403"/>
      <c r="AI31" s="1402"/>
      <c r="AJ31" s="1402"/>
      <c r="AK31" s="1440"/>
      <c r="AL31" s="1402"/>
      <c r="AM31" s="1882">
        <v>0</v>
      </c>
      <c r="AN31" s="1883">
        <f t="shared" si="0"/>
        <v>0</v>
      </c>
      <c r="AO31" s="1882" t="s">
        <v>1090</v>
      </c>
      <c r="AP31" s="1883" t="s">
        <v>1090</v>
      </c>
      <c r="AQ31" s="1883" t="s">
        <v>1090</v>
      </c>
      <c r="AR31" s="1883" t="str">
        <f t="shared" si="1"/>
        <v>-</v>
      </c>
      <c r="AS31" s="1884">
        <v>0</v>
      </c>
      <c r="AT31" s="1883">
        <v>0</v>
      </c>
      <c r="AU31" s="1882"/>
      <c r="AV31" s="1882"/>
      <c r="AW31" s="2196">
        <f t="shared" si="13"/>
        <v>0</v>
      </c>
      <c r="AX31" s="2218">
        <f t="shared" si="6"/>
        <v>0</v>
      </c>
      <c r="AY31" s="2196" t="s">
        <v>1090</v>
      </c>
      <c r="AZ31" s="2218" t="s">
        <v>1090</v>
      </c>
      <c r="BA31" s="2218" t="s">
        <v>1090</v>
      </c>
      <c r="BB31" s="2218" t="s">
        <v>1090</v>
      </c>
      <c r="BC31" s="2308">
        <v>0</v>
      </c>
      <c r="BD31" s="795" t="s">
        <v>1090</v>
      </c>
      <c r="BE31" s="795"/>
      <c r="BF31" s="795"/>
      <c r="BG31" s="2392">
        <f t="shared" si="14"/>
        <v>0</v>
      </c>
      <c r="BH31" s="2391">
        <f t="shared" si="8"/>
        <v>0</v>
      </c>
      <c r="BI31" s="2392" t="s">
        <v>1090</v>
      </c>
      <c r="BJ31" s="2391" t="s">
        <v>1090</v>
      </c>
      <c r="BK31" s="2391"/>
      <c r="BL31" s="2391" t="s">
        <v>1090</v>
      </c>
      <c r="BM31" s="2394"/>
      <c r="BN31" s="2393"/>
      <c r="BO31" s="2393"/>
      <c r="BP31" s="2393"/>
    </row>
    <row r="32" spans="1:68" s="796" customFormat="1" ht="39" thickBot="1">
      <c r="A32" s="2856"/>
      <c r="B32" s="2856"/>
      <c r="C32" s="2756"/>
      <c r="D32" s="945" t="s">
        <v>147</v>
      </c>
      <c r="E32" s="1427" t="s">
        <v>148</v>
      </c>
      <c r="F32" s="1428" t="s">
        <v>149</v>
      </c>
      <c r="G32" s="1427" t="s">
        <v>150</v>
      </c>
      <c r="H32" s="889" t="s">
        <v>514</v>
      </c>
      <c r="I32" s="1416">
        <v>0.16666666666666669</v>
      </c>
      <c r="J32" s="1384" t="s">
        <v>148</v>
      </c>
      <c r="K32" s="1003">
        <v>42006</v>
      </c>
      <c r="L32" s="1003">
        <v>42369</v>
      </c>
      <c r="M32" s="932"/>
      <c r="N32" s="932"/>
      <c r="O32" s="932"/>
      <c r="P32" s="932"/>
      <c r="Q32" s="932"/>
      <c r="R32" s="932"/>
      <c r="S32" s="932"/>
      <c r="T32" s="932"/>
      <c r="U32" s="932"/>
      <c r="V32" s="932"/>
      <c r="W32" s="932"/>
      <c r="X32" s="932"/>
      <c r="Y32" s="1429" t="s">
        <v>149</v>
      </c>
      <c r="Z32" s="1421">
        <v>0</v>
      </c>
      <c r="AA32" s="850" t="s">
        <v>1090</v>
      </c>
      <c r="AB32" s="1440">
        <f t="shared" si="10"/>
        <v>0</v>
      </c>
      <c r="AC32" s="1632">
        <f t="shared" si="3"/>
        <v>0</v>
      </c>
      <c r="AD32" s="1575">
        <v>0</v>
      </c>
      <c r="AE32" s="1632" t="s">
        <v>1090</v>
      </c>
      <c r="AF32" s="1632" t="s">
        <v>1090</v>
      </c>
      <c r="AG32" s="1632" t="str">
        <f t="shared" si="12"/>
        <v>-</v>
      </c>
      <c r="AH32" s="1403"/>
      <c r="AI32" s="1402"/>
      <c r="AJ32" s="1402"/>
      <c r="AK32" s="1440"/>
      <c r="AL32" s="1402"/>
      <c r="AM32" s="1882">
        <v>0</v>
      </c>
      <c r="AN32" s="1883">
        <f t="shared" si="0"/>
        <v>0</v>
      </c>
      <c r="AO32" s="1882" t="s">
        <v>1090</v>
      </c>
      <c r="AP32" s="1883" t="s">
        <v>1090</v>
      </c>
      <c r="AQ32" s="1883" t="s">
        <v>1090</v>
      </c>
      <c r="AR32" s="1883" t="str">
        <f t="shared" si="1"/>
        <v>-</v>
      </c>
      <c r="AS32" s="1884">
        <v>0</v>
      </c>
      <c r="AT32" s="1883">
        <v>0</v>
      </c>
      <c r="AU32" s="1882"/>
      <c r="AV32" s="1882"/>
      <c r="AW32" s="2196">
        <f t="shared" si="13"/>
        <v>0</v>
      </c>
      <c r="AX32" s="2218">
        <f t="shared" si="6"/>
        <v>0</v>
      </c>
      <c r="AY32" s="2196" t="s">
        <v>1090</v>
      </c>
      <c r="AZ32" s="2218" t="s">
        <v>1090</v>
      </c>
      <c r="BA32" s="2218" t="s">
        <v>1090</v>
      </c>
      <c r="BB32" s="2218" t="s">
        <v>1090</v>
      </c>
      <c r="BC32" s="2308">
        <v>0</v>
      </c>
      <c r="BD32" s="795" t="s">
        <v>1090</v>
      </c>
      <c r="BE32" s="795"/>
      <c r="BF32" s="795"/>
      <c r="BG32" s="2392">
        <f t="shared" si="14"/>
        <v>0</v>
      </c>
      <c r="BH32" s="2391">
        <f t="shared" si="8"/>
        <v>0</v>
      </c>
      <c r="BI32" s="2392" t="s">
        <v>1090</v>
      </c>
      <c r="BJ32" s="2391" t="s">
        <v>1090</v>
      </c>
      <c r="BK32" s="2391"/>
      <c r="BL32" s="2391" t="s">
        <v>1090</v>
      </c>
      <c r="BM32" s="2394"/>
      <c r="BN32" s="2393"/>
      <c r="BO32" s="2393"/>
      <c r="BP32" s="2393"/>
    </row>
    <row r="33" spans="1:68" s="842" customFormat="1" ht="18.75" thickBot="1">
      <c r="A33" s="2556" t="s">
        <v>130</v>
      </c>
      <c r="B33" s="2556"/>
      <c r="C33" s="2556"/>
      <c r="D33" s="2556"/>
      <c r="E33" s="848"/>
      <c r="F33" s="848"/>
      <c r="G33" s="848"/>
      <c r="H33" s="867"/>
      <c r="I33" s="1430">
        <f>+SUM(I27:I32)</f>
        <v>1.0000000000000002</v>
      </c>
      <c r="J33" s="848"/>
      <c r="K33" s="848"/>
      <c r="L33" s="848"/>
      <c r="M33" s="848"/>
      <c r="N33" s="848"/>
      <c r="O33" s="848"/>
      <c r="P33" s="848"/>
      <c r="Q33" s="848"/>
      <c r="R33" s="848"/>
      <c r="S33" s="848"/>
      <c r="T33" s="848"/>
      <c r="U33" s="848"/>
      <c r="V33" s="848"/>
      <c r="W33" s="848"/>
      <c r="X33" s="848"/>
      <c r="Y33" s="865"/>
      <c r="Z33" s="864">
        <f>SUM(Z27:Z32)</f>
        <v>0</v>
      </c>
      <c r="AA33" s="846"/>
      <c r="AB33" s="1583"/>
      <c r="AC33" s="1580">
        <f>AVERAGEIF(AC27:AC32,"&gt;0")</f>
        <v>1</v>
      </c>
      <c r="AD33" s="1584"/>
      <c r="AE33" s="1580">
        <f>AVERAGE(AE27:AE32)</f>
        <v>1</v>
      </c>
      <c r="AF33" s="1580"/>
      <c r="AG33" s="1580">
        <f>AVERAGE(AG27:AG32)</f>
        <v>0.1111111111111111</v>
      </c>
      <c r="AH33" s="1441"/>
      <c r="AI33" s="1441"/>
      <c r="AJ33" s="1441"/>
      <c r="AK33" s="1457"/>
      <c r="AL33" s="1441"/>
      <c r="AM33" s="844"/>
      <c r="AN33" s="1871">
        <f>AVERAGEIF(AN27:AN32,"&gt;0")</f>
        <v>1</v>
      </c>
      <c r="AO33" s="844"/>
      <c r="AP33" s="1874">
        <f>AVERAGE(AP27:AP32)</f>
        <v>0.3333333333333333</v>
      </c>
      <c r="AQ33" s="844"/>
      <c r="AR33" s="1874">
        <f>AVERAGE(AR27:AR32)</f>
        <v>0.3333333333333333</v>
      </c>
      <c r="AS33" s="844"/>
      <c r="AT33" s="844"/>
      <c r="AU33" s="844"/>
      <c r="AV33" s="844"/>
      <c r="AW33" s="844"/>
      <c r="AX33" s="2220">
        <v>1</v>
      </c>
      <c r="AY33" s="844"/>
      <c r="AZ33" s="2219">
        <f>AVERAGE(AZ27:AZ32)</f>
        <v>1</v>
      </c>
      <c r="BA33" s="844"/>
      <c r="BB33" s="2219">
        <f>AVERAGE(BB27:BB32)</f>
        <v>0.5</v>
      </c>
      <c r="BC33" s="844"/>
      <c r="BD33" s="844"/>
      <c r="BE33" s="844"/>
      <c r="BF33" s="844"/>
      <c r="BG33" s="844"/>
      <c r="BH33" s="2220">
        <v>1</v>
      </c>
      <c r="BI33" s="844"/>
      <c r="BJ33" s="2219">
        <f>AVERAGE(BJ27:BJ32)</f>
        <v>0.9583333333333334</v>
      </c>
      <c r="BK33" s="844"/>
      <c r="BL33" s="2219">
        <f>AVERAGE(BL27:BL32)</f>
        <v>0.5833333333333334</v>
      </c>
      <c r="BM33" s="844"/>
      <c r="BN33" s="844"/>
      <c r="BO33" s="844"/>
      <c r="BP33" s="844"/>
    </row>
    <row r="34" spans="1:68" s="842" customFormat="1" ht="18.75" thickBot="1">
      <c r="A34" s="2854" t="s">
        <v>290</v>
      </c>
      <c r="B34" s="2854"/>
      <c r="C34" s="2854"/>
      <c r="D34" s="2854"/>
      <c r="E34" s="1431"/>
      <c r="F34" s="1431"/>
      <c r="G34" s="1431"/>
      <c r="H34" s="1432"/>
      <c r="I34" s="1433">
        <f>AVERAGE(I33,I26,I24)</f>
        <v>1</v>
      </c>
      <c r="J34" s="1432"/>
      <c r="K34" s="1432"/>
      <c r="L34" s="1432"/>
      <c r="M34" s="1432"/>
      <c r="N34" s="1432"/>
      <c r="O34" s="1432"/>
      <c r="P34" s="1432"/>
      <c r="Q34" s="1432"/>
      <c r="R34" s="1432"/>
      <c r="S34" s="1432"/>
      <c r="T34" s="1432"/>
      <c r="U34" s="1432"/>
      <c r="V34" s="1432"/>
      <c r="W34" s="1432"/>
      <c r="X34" s="1432"/>
      <c r="Y34" s="1434"/>
      <c r="Z34" s="1435">
        <v>0</v>
      </c>
      <c r="AA34" s="1436"/>
      <c r="AB34" s="1476"/>
      <c r="AC34" s="1581">
        <f>AVERAGE(AC33,AC26,AC24)</f>
        <v>1</v>
      </c>
      <c r="AD34" s="1582"/>
      <c r="AE34" s="1581">
        <f>AVERAGE(AE33,AE26,AE24)</f>
        <v>1</v>
      </c>
      <c r="AF34" s="1581"/>
      <c r="AG34" s="1581">
        <f>AVERAGE(AG33,AG26,AG24)</f>
        <v>0.05555555555555555</v>
      </c>
      <c r="AH34" s="843"/>
      <c r="AI34" s="843"/>
      <c r="AJ34" s="843"/>
      <c r="AK34" s="1458"/>
      <c r="AL34" s="843"/>
      <c r="AM34" s="843"/>
      <c r="AN34" s="1909">
        <f>AVERAGE(AN33,AN26,AN24)</f>
        <v>1</v>
      </c>
      <c r="AO34" s="843"/>
      <c r="AP34" s="1909">
        <f>AVERAGE(AP33,AP26,AP24)</f>
        <v>0.16666666666666666</v>
      </c>
      <c r="AQ34" s="843"/>
      <c r="AR34" s="1909">
        <f>AVERAGE(AR33,AR26,AR24)</f>
        <v>0.16666666666666666</v>
      </c>
      <c r="AS34" s="843"/>
      <c r="AT34" s="843"/>
      <c r="AU34" s="843"/>
      <c r="AV34" s="843"/>
      <c r="AW34" s="2225"/>
      <c r="AX34" s="2226">
        <v>1</v>
      </c>
      <c r="AY34" s="2225"/>
      <c r="AZ34" s="2227">
        <f>AVERAGE(AZ33,AZ26,AZ24)</f>
        <v>0.5</v>
      </c>
      <c r="BA34" s="2225"/>
      <c r="BB34" s="2227">
        <f>AVERAGE(BB33,BB26,BB24)</f>
        <v>0.25</v>
      </c>
      <c r="BC34" s="843"/>
      <c r="BD34" s="843"/>
      <c r="BE34" s="843"/>
      <c r="BF34" s="843"/>
      <c r="BG34" s="2225"/>
      <c r="BH34" s="2226">
        <v>1</v>
      </c>
      <c r="BI34" s="2225"/>
      <c r="BJ34" s="2227">
        <f>AVERAGE(BJ33,BJ26,BJ24)</f>
        <v>0.9791666666666667</v>
      </c>
      <c r="BK34" s="2225"/>
      <c r="BL34" s="2227">
        <f>AVERAGE(BL33,BL26,BL24)</f>
        <v>0.5916666666666667</v>
      </c>
      <c r="BM34" s="843"/>
      <c r="BN34" s="843"/>
      <c r="BO34" s="843"/>
      <c r="BP34" s="843"/>
    </row>
    <row r="35" spans="1:68" s="833" customFormat="1" ht="18.75" thickBot="1">
      <c r="A35" s="841"/>
      <c r="B35" s="840"/>
      <c r="C35" s="835"/>
      <c r="D35" s="835"/>
      <c r="E35" s="835"/>
      <c r="F35" s="1437"/>
      <c r="G35" s="835"/>
      <c r="H35" s="835"/>
      <c r="I35" s="838">
        <f>AVERAGE(I34)</f>
        <v>1</v>
      </c>
      <c r="J35" s="835"/>
      <c r="K35" s="837"/>
      <c r="L35" s="837"/>
      <c r="M35" s="835"/>
      <c r="N35" s="835"/>
      <c r="O35" s="835"/>
      <c r="P35" s="835"/>
      <c r="Q35" s="835"/>
      <c r="R35" s="835"/>
      <c r="S35" s="835"/>
      <c r="T35" s="835"/>
      <c r="U35" s="835"/>
      <c r="V35" s="835"/>
      <c r="W35" s="835"/>
      <c r="X35" s="835"/>
      <c r="Y35" s="1438"/>
      <c r="Z35" s="1439">
        <v>0</v>
      </c>
      <c r="AA35" s="835"/>
      <c r="AB35" s="1462"/>
      <c r="AC35" s="1541">
        <f>AVERAGE(AC34)</f>
        <v>1</v>
      </c>
      <c r="AD35" s="1585"/>
      <c r="AE35" s="1541">
        <f>AVERAGE(AE34)</f>
        <v>1</v>
      </c>
      <c r="AF35" s="1541"/>
      <c r="AG35" s="1541">
        <f>AVERAGE(AG34)</f>
        <v>0.05555555555555555</v>
      </c>
      <c r="AH35" s="834"/>
      <c r="AI35" s="834"/>
      <c r="AJ35" s="834"/>
      <c r="AK35" s="1459"/>
      <c r="AL35" s="834"/>
      <c r="AM35" s="1910"/>
      <c r="AN35" s="1911">
        <f>AVERAGE(AN34)</f>
        <v>1</v>
      </c>
      <c r="AO35" s="1910"/>
      <c r="AP35" s="1911">
        <f>AVERAGE(AP34)</f>
        <v>0.16666666666666666</v>
      </c>
      <c r="AQ35" s="1910"/>
      <c r="AR35" s="1911">
        <f>AVERAGE(AR34)</f>
        <v>0.16666666666666666</v>
      </c>
      <c r="AS35" s="1910"/>
      <c r="AT35" s="1910"/>
      <c r="AU35" s="834"/>
      <c r="AV35" s="834"/>
      <c r="AW35" s="2228"/>
      <c r="AX35" s="2229">
        <v>1</v>
      </c>
      <c r="AY35" s="2228"/>
      <c r="AZ35" s="2230">
        <f>AVERAGE(AZ34)</f>
        <v>0.5</v>
      </c>
      <c r="BA35" s="2228"/>
      <c r="BB35" s="2230">
        <f>AVERAGE(BB34)</f>
        <v>0.25</v>
      </c>
      <c r="BC35" s="2228"/>
      <c r="BD35" s="834"/>
      <c r="BE35" s="834"/>
      <c r="BF35" s="834"/>
      <c r="BG35" s="2228"/>
      <c r="BH35" s="1541">
        <v>1</v>
      </c>
      <c r="BI35" s="1462"/>
      <c r="BJ35" s="2513">
        <f>AVERAGE(BJ34)</f>
        <v>0.9791666666666667</v>
      </c>
      <c r="BK35" s="1462"/>
      <c r="BL35" s="2513">
        <f>AVERAGE(BL34)</f>
        <v>0.5916666666666667</v>
      </c>
      <c r="BM35" s="2228"/>
      <c r="BN35" s="834"/>
      <c r="BO35" s="834"/>
      <c r="BP35" s="834"/>
    </row>
  </sheetData>
  <mergeCells count="37">
    <mergeCell ref="BG5:BP9"/>
    <mergeCell ref="BG11:BP11"/>
    <mergeCell ref="BG13:BP13"/>
    <mergeCell ref="A1:C4"/>
    <mergeCell ref="D1:BC2"/>
    <mergeCell ref="D3:BC4"/>
    <mergeCell ref="A6:AA6"/>
    <mergeCell ref="A7:AA7"/>
    <mergeCell ref="AB7:AL9"/>
    <mergeCell ref="AM7:AV9"/>
    <mergeCell ref="A5:AA5"/>
    <mergeCell ref="AB5:AL6"/>
    <mergeCell ref="AM5:AV6"/>
    <mergeCell ref="A8:AA8"/>
    <mergeCell ref="AW5:BF9"/>
    <mergeCell ref="A9:AA9"/>
    <mergeCell ref="AB11:AL11"/>
    <mergeCell ref="A24:D24"/>
    <mergeCell ref="A16:A23"/>
    <mergeCell ref="B16:B23"/>
    <mergeCell ref="C16:C22"/>
    <mergeCell ref="AW11:BF11"/>
    <mergeCell ref="AW13:BF13"/>
    <mergeCell ref="A34:D34"/>
    <mergeCell ref="A26:D26"/>
    <mergeCell ref="A27:A32"/>
    <mergeCell ref="B27:B32"/>
    <mergeCell ref="C27:C28"/>
    <mergeCell ref="C29:C32"/>
    <mergeCell ref="A33:D33"/>
    <mergeCell ref="A13:D13"/>
    <mergeCell ref="E13:AA13"/>
    <mergeCell ref="AB13:AL13"/>
    <mergeCell ref="AM13:AV13"/>
    <mergeCell ref="AM11:AV11"/>
    <mergeCell ref="A11:D11"/>
    <mergeCell ref="E11:AA1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Ana Maria Canal</cp:lastModifiedBy>
  <dcterms:created xsi:type="dcterms:W3CDTF">2015-01-29T01:23:05Z</dcterms:created>
  <dcterms:modified xsi:type="dcterms:W3CDTF">2015-10-20T23:51:54Z</dcterms:modified>
  <cp:category/>
  <cp:version/>
  <cp:contentType/>
  <cp:contentStatus/>
</cp:coreProperties>
</file>